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<sst xmlns="http://schemas.openxmlformats.org/spreadsheetml/2006/main" count="2859" uniqueCount="2079">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</sst>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Твърдица</v>
      </c>
      <c r="C2" s="1670"/>
      <c r="D2" s="1671"/>
      <c r="E2" s="1019"/>
      <c r="F2" s="1020">
        <f>+OTCHET!H9</f>
        <v>0</v>
      </c>
      <c r="G2" s="1021" t="str">
        <f>+OTCHET!F12</f>
        <v>7004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79" t="s">
        <v>990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992</v>
      </c>
      <c r="O6" s="1008"/>
      <c r="P6" s="1045">
        <f>OTCHET!F9</f>
        <v>44469</v>
      </c>
      <c r="Q6" s="1044" t="s">
        <v>992</v>
      </c>
      <c r="R6" s="1046"/>
      <c r="S6" s="1680">
        <f>+Q4</f>
        <v>2021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1" t="s">
        <v>969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684" t="s">
        <v>970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1988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1987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1009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1011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1013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1015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7</v>
      </c>
      <c r="K20" s="1095"/>
      <c r="L20" s="1114">
        <f t="shared" si="4"/>
        <v>0</v>
      </c>
      <c r="M20" s="1095"/>
      <c r="N20" s="1115">
        <f t="shared" si="5"/>
        <v>7</v>
      </c>
      <c r="O20" s="1097"/>
      <c r="P20" s="1113">
        <f>+ROUND(+SUM(OTCHET!E81:E89),0)</f>
        <v>0</v>
      </c>
      <c r="Q20" s="1114">
        <f>+ROUND(+SUM(OTCHET!L81:L89),0)</f>
        <v>7</v>
      </c>
      <c r="R20" s="1046"/>
      <c r="S20" s="1690" t="s">
        <v>1017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1019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1989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7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7</v>
      </c>
      <c r="O23" s="1097"/>
      <c r="P23" s="1125">
        <f>+ROUND(+SUM(P13,P14,P16,P17,P18,P19,P20,P21,P22),0)</f>
        <v>0</v>
      </c>
      <c r="Q23" s="1125">
        <f>+ROUND(+SUM(Q13,Q14,Q16,Q17,Q18,Q19,Q20,Q21,Q22),0)</f>
        <v>7</v>
      </c>
      <c r="R23" s="1046"/>
      <c r="S23" s="1699" t="s">
        <v>1022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1027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1029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1031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1038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1040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1042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1044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1046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1051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1052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1054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1056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7</v>
      </c>
      <c r="K48" s="1095"/>
      <c r="L48" s="1200">
        <f>+ROUND(L23+L28+L35+L40+L46,0)</f>
        <v>0</v>
      </c>
      <c r="M48" s="1095"/>
      <c r="N48" s="1201">
        <f>+ROUND(N23+N28+N35+N40+N46,0)</f>
        <v>7</v>
      </c>
      <c r="O48" s="1202"/>
      <c r="P48" s="1199">
        <f>+ROUND(P23+P28+P35+P40+P46,0)</f>
        <v>0</v>
      </c>
      <c r="Q48" s="1200">
        <f>+ROUND(Q23+Q28+Q35+Q40+Q46,0)</f>
        <v>7</v>
      </c>
      <c r="R48" s="1046"/>
      <c r="S48" s="1711" t="s">
        <v>1058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1670</v>
      </c>
      <c r="K51" s="1095"/>
      <c r="L51" s="1102">
        <f>+IF($P$2=33,$Q51,0)</f>
        <v>0</v>
      </c>
      <c r="M51" s="1095"/>
      <c r="N51" s="1132">
        <f>+ROUND(+G51+J51+L51,0)</f>
        <v>1670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1670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1064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1066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1068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1070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1670</v>
      </c>
      <c r="K56" s="1095"/>
      <c r="L56" s="1208">
        <f>+ROUND(+SUM(L51:L55),0)</f>
        <v>0</v>
      </c>
      <c r="M56" s="1095"/>
      <c r="N56" s="1209">
        <f>+ROUND(+SUM(N51:N55),0)</f>
        <v>1670</v>
      </c>
      <c r="O56" s="1097"/>
      <c r="P56" s="1207">
        <f>+ROUND(+SUM(P51:P55),0)</f>
        <v>0</v>
      </c>
      <c r="Q56" s="1208">
        <f>+ROUND(+SUM(Q51:Q55),0)</f>
        <v>1670</v>
      </c>
      <c r="R56" s="1046"/>
      <c r="S56" s="1699" t="s">
        <v>1072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149607</v>
      </c>
      <c r="K59" s="1095"/>
      <c r="L59" s="1120">
        <f>+IF($P$2=33,$Q59,0)</f>
        <v>0</v>
      </c>
      <c r="M59" s="1095"/>
      <c r="N59" s="1121">
        <f>+ROUND(+G59+J59+L59,0)</f>
        <v>149607</v>
      </c>
      <c r="O59" s="1097"/>
      <c r="P59" s="1119">
        <f>+ROUND(+OTCHET!E275+OTCHET!E276,0)</f>
        <v>0</v>
      </c>
      <c r="Q59" s="1120">
        <f>+ROUND(+OTCHET!L275+OTCHET!L276,0)</f>
        <v>149607</v>
      </c>
      <c r="R59" s="1046"/>
      <c r="S59" s="1690" t="s">
        <v>1077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1079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1081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149607</v>
      </c>
      <c r="K63" s="1095"/>
      <c r="L63" s="1208">
        <f>+ROUND(+SUM(L58:L61),0)</f>
        <v>0</v>
      </c>
      <c r="M63" s="1095"/>
      <c r="N63" s="1209">
        <f>+ROUND(+SUM(N58:N61),0)</f>
        <v>149607</v>
      </c>
      <c r="O63" s="1097"/>
      <c r="P63" s="1207">
        <f>+ROUND(+SUM(P58:P61),0)</f>
        <v>0</v>
      </c>
      <c r="Q63" s="1208">
        <f>+ROUND(+SUM(Q58:Q61),0)</f>
        <v>149607</v>
      </c>
      <c r="R63" s="1046"/>
      <c r="S63" s="1699" t="s">
        <v>1085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1090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1092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1097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1099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1104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1106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151277</v>
      </c>
      <c r="K77" s="1095"/>
      <c r="L77" s="1233">
        <f>+ROUND(L56+L63+L67+L71+L75,0)</f>
        <v>0</v>
      </c>
      <c r="M77" s="1095"/>
      <c r="N77" s="1234">
        <f>+ROUND(N56+N63+N67+N71+N75,0)</f>
        <v>151277</v>
      </c>
      <c r="O77" s="1097"/>
      <c r="P77" s="1231">
        <f>+ROUND(P56+P63+P67+P71+P75,0)</f>
        <v>0</v>
      </c>
      <c r="Q77" s="1232">
        <f>+ROUND(Q56+Q63+Q67+Q71+Q75,0)</f>
        <v>151277</v>
      </c>
      <c r="R77" s="1046"/>
      <c r="S77" s="1714" t="s">
        <v>1108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112252</v>
      </c>
      <c r="K79" s="1095"/>
      <c r="L79" s="1108">
        <f>+IF($P$2=33,$Q79,0)</f>
        <v>0</v>
      </c>
      <c r="M79" s="1095"/>
      <c r="N79" s="1109">
        <f>+ROUND(+G79+J79+L79,0)</f>
        <v>112252</v>
      </c>
      <c r="O79" s="1097"/>
      <c r="P79" s="1107">
        <f>+ROUND(OTCHET!E419,0)</f>
        <v>0</v>
      </c>
      <c r="Q79" s="1108">
        <f>+ROUND(OTCHET!L419,0)</f>
        <v>112252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42624</v>
      </c>
      <c r="K80" s="1095"/>
      <c r="L80" s="1120">
        <f>+IF($P$2=33,$Q80,0)</f>
        <v>0</v>
      </c>
      <c r="M80" s="1095"/>
      <c r="N80" s="1121">
        <f>+ROUND(+G80+J80+L80,0)</f>
        <v>42624</v>
      </c>
      <c r="O80" s="1097"/>
      <c r="P80" s="1119">
        <f>+ROUND(OTCHET!E429,0)</f>
        <v>0</v>
      </c>
      <c r="Q80" s="1120">
        <f>+ROUND(OTCHET!L429,0)</f>
        <v>42624</v>
      </c>
      <c r="R80" s="1046"/>
      <c r="S80" s="1690" t="s">
        <v>1113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154876</v>
      </c>
      <c r="K81" s="1095"/>
      <c r="L81" s="1242">
        <f>+ROUND(L79+L80,0)</f>
        <v>0</v>
      </c>
      <c r="M81" s="1095"/>
      <c r="N81" s="1243">
        <f>+ROUND(N79+N80,0)</f>
        <v>154876</v>
      </c>
      <c r="O81" s="1097"/>
      <c r="P81" s="1241">
        <f>+ROUND(P79+P80,0)</f>
        <v>0</v>
      </c>
      <c r="Q81" s="1242">
        <f>+ROUND(Q79+Q80,0)</f>
        <v>154876</v>
      </c>
      <c r="R81" s="1046"/>
      <c r="S81" s="1717" t="s">
        <v>1115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3606</v>
      </c>
      <c r="K83" s="1095"/>
      <c r="L83" s="1255">
        <f>+ROUND(L48,0)-ROUND(L77,0)+ROUND(L81,0)</f>
        <v>0</v>
      </c>
      <c r="M83" s="1095"/>
      <c r="N83" s="1256">
        <f>+ROUND(N48,0)-ROUND(N77,0)+ROUND(N81,0)</f>
        <v>3606</v>
      </c>
      <c r="O83" s="1257"/>
      <c r="P83" s="1254">
        <f>+ROUND(P48,0)-ROUND(P77,0)+ROUND(P81,0)</f>
        <v>0</v>
      </c>
      <c r="Q83" s="1255">
        <f>+ROUND(Q48,0)-ROUND(Q77,0)+ROUND(Q81,0)</f>
        <v>3606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-3606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-3606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-3606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1123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1125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1130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1132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1134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1136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1141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1143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1145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1151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1153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1156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1158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1160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1165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1167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1172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1174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1176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1183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1185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1187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108730</v>
      </c>
      <c r="K129" s="1095"/>
      <c r="L129" s="1108">
        <f>+IF($P$2=33,$Q129,0)</f>
        <v>0</v>
      </c>
      <c r="M129" s="1095"/>
      <c r="N129" s="1109">
        <f>+ROUND(+G129+J129+L129,0)</f>
        <v>108730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108730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1192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112336</v>
      </c>
      <c r="K131" s="1095"/>
      <c r="L131" s="1120">
        <f>+IF($P$2=33,$Q131,0)</f>
        <v>0</v>
      </c>
      <c r="M131" s="1095"/>
      <c r="N131" s="1121">
        <f>+ROUND(+G131+J131+L131,0)</f>
        <v>112336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112336</v>
      </c>
      <c r="R131" s="1046"/>
      <c r="S131" s="1729" t="s">
        <v>1194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3606</v>
      </c>
      <c r="K132" s="1095"/>
      <c r="L132" s="1295">
        <f>+ROUND(+L131-L129-L130,0)</f>
        <v>0</v>
      </c>
      <c r="M132" s="1095"/>
      <c r="N132" s="1296">
        <f>+ROUND(+N131-N129-N130,0)</f>
        <v>3606</v>
      </c>
      <c r="O132" s="1097"/>
      <c r="P132" s="1294">
        <f>+ROUND(+P131-P129-P130,0)</f>
        <v>0</v>
      </c>
      <c r="Q132" s="1295">
        <f>+ROUND(+Q131-Q129-Q130,0)</f>
        <v>3606</v>
      </c>
      <c r="R132" s="1046"/>
      <c r="S132" s="1732" t="s">
        <v>1196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44487</v>
      </c>
      <c r="D134" s="1247" t="s">
        <v>1198</v>
      </c>
      <c r="E134" s="1019"/>
      <c r="F134" s="1736"/>
      <c r="G134" s="1736"/>
      <c r="H134" s="1019"/>
      <c r="I134" s="1304" t="s">
        <v>1199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44469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7</v>
      </c>
      <c r="G22" s="764">
        <f>+G23+G25+G36+G37</f>
        <v>0</v>
      </c>
      <c r="H22" s="765">
        <f>+H23+H25+H36+H37</f>
        <v>7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7</v>
      </c>
      <c r="G25" s="783">
        <f>+G26+G30+G31+G32+G33</f>
        <v>0</v>
      </c>
      <c r="H25" s="784">
        <f>+H26+H30+H31+H32+H33</f>
        <v>7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7</v>
      </c>
      <c r="G26" s="788">
        <f>OTCHET!I74</f>
        <v>0</v>
      </c>
      <c r="H26" s="789">
        <f>OTCHET!J74</f>
        <v>7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151277</v>
      </c>
      <c r="G38" s="848">
        <f>G39+G43+G44+G46+SUM(G48:G52)+G55</f>
        <v>0</v>
      </c>
      <c r="H38" s="849">
        <f>H39+H43+H44+H46+SUM(H48:H52)+H55</f>
        <v>151277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1670</v>
      </c>
      <c r="G43" s="816">
        <f>+OTCHET!I205+OTCHET!I223+OTCHET!I271</f>
        <v>0</v>
      </c>
      <c r="H43" s="817">
        <f>+OTCHET!J205+OTCHET!J223+OTCHET!J271</f>
        <v>1670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149607</v>
      </c>
      <c r="G49" s="816">
        <f>OTCHET!I275+OTCHET!I276+OTCHET!I284+OTCHET!I287</f>
        <v>0</v>
      </c>
      <c r="H49" s="817">
        <f>OTCHET!J275+OTCHET!J276+OTCHET!J284+OTCHET!J287</f>
        <v>149607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154876</v>
      </c>
      <c r="G56" s="893">
        <f>+G57+G58+G62</f>
        <v>-40275</v>
      </c>
      <c r="H56" s="894">
        <f>+H57+H58+H62</f>
        <v>195151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154876</v>
      </c>
      <c r="G58" s="902">
        <f>+OTCHET!I383+OTCHET!I391+OTCHET!I396+OTCHET!I399+OTCHET!I402+OTCHET!I405+OTCHET!I406+OTCHET!I409+OTCHET!I422+OTCHET!I423+OTCHET!I424+OTCHET!I425+OTCHET!I426</f>
        <v>-40275</v>
      </c>
      <c r="H58" s="903">
        <f>+OTCHET!J383+OTCHET!J391+OTCHET!J396+OTCHET!J399+OTCHET!J402+OTCHET!J405+OTCHET!J406+OTCHET!J409+OTCHET!J422+OTCHET!J423+OTCHET!J424+OTCHET!J425+OTCHET!J426</f>
        <v>195151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42624</v>
      </c>
      <c r="G59" s="906">
        <f>+OTCHET!I422+OTCHET!I423+OTCHET!I424+OTCHET!I425+OTCHET!I426</f>
        <v>0</v>
      </c>
      <c r="H59" s="907">
        <f>+OTCHET!J422+OTCHET!J423+OTCHET!J424+OTCHET!J425+OTCHET!J426</f>
        <v>42624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3606</v>
      </c>
      <c r="G64" s="928">
        <f>+G22-G38+G56-G63</f>
        <v>-40275</v>
      </c>
      <c r="H64" s="929">
        <f>+H22-H38+H56-H63</f>
        <v>43881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-40275</v>
      </c>
      <c r="H65" s="934">
        <f>+H$64+H$66</f>
        <v>40275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-3606</v>
      </c>
      <c r="G66" s="938">
        <f>SUM(+G68+G76+G77+G84+G85+G86+G89+G90+G91+G92+G93+G94+G95)</f>
        <v>0</v>
      </c>
      <c r="H66" s="939">
        <f>SUM(+H68+H76+H77+H84+H85+H86+H89+H90+H91+H92+H93+H94+H95)</f>
        <v>-3606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108730</v>
      </c>
      <c r="G90" s="902">
        <f>+OTCHET!I567+OTCHET!I568+OTCHET!I569+OTCHET!I570+OTCHET!I571+OTCHET!I572</f>
        <v>27920</v>
      </c>
      <c r="H90" s="903">
        <f>+OTCHET!J567+OTCHET!J568+OTCHET!J569+OTCHET!J570+OTCHET!J571+OTCHET!J572</f>
        <v>80810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-112336</v>
      </c>
      <c r="G91" s="816">
        <f>+OTCHET!I573+OTCHET!I574+OTCHET!I575+OTCHET!I576+OTCHET!I577+OTCHET!I578+OTCHET!I579</f>
        <v>-27920</v>
      </c>
      <c r="H91" s="817">
        <f>+OTCHET!J573+OTCHET!J574+OTCHET!J575+OTCHET!J576+OTCHET!J577+OTCHET!J578+OTCHET!J579</f>
        <v>-84416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-40275</v>
      </c>
      <c r="H105" s="985">
        <f>+H$64+H$66</f>
        <v>40275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383">
      <selection activeCell="G600" sqref="G600:J60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СРЕДСТВАТА ОТ ЕВРОПЕЙСКИЯ СЪЮЗ - РА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1860</v>
      </c>
      <c r="C9" s="1769"/>
      <c r="D9" s="1770"/>
      <c r="E9" s="115">
        <v>44197</v>
      </c>
      <c r="F9" s="116">
        <v>44469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838" t="s">
        <v>963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Твърдица</v>
      </c>
      <c r="C12" s="1772"/>
      <c r="D12" s="1773"/>
      <c r="E12" s="118" t="s">
        <v>957</v>
      </c>
      <c r="F12" s="1585" t="s">
        <v>1540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49" t="s">
        <v>2053</v>
      </c>
      <c r="F19" s="1750"/>
      <c r="G19" s="1750"/>
      <c r="H19" s="1751"/>
      <c r="I19" s="1755" t="s">
        <v>2054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7</v>
      </c>
      <c r="K74" s="170">
        <f>SUM(K75:K89)</f>
        <v>0</v>
      </c>
      <c r="L74" s="1376">
        <f t="shared" si="13"/>
        <v>7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>
        <v>0</v>
      </c>
      <c r="H81" s="160">
        <v>0</v>
      </c>
      <c r="I81" s="158"/>
      <c r="J81" s="159">
        <v>7</v>
      </c>
      <c r="K81" s="160">
        <v>0</v>
      </c>
      <c r="L81" s="295">
        <f t="shared" si="14"/>
        <v>7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7</v>
      </c>
      <c r="K169" s="213">
        <f t="shared" si="39"/>
        <v>0</v>
      </c>
      <c r="L169" s="210">
        <f t="shared" si="39"/>
        <v>7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СРЕДСТВАТА ОТ ЕВРОПЕЙСКИЯ СЪЮЗ - РА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Твърдица</v>
      </c>
      <c r="C176" s="1781"/>
      <c r="D176" s="1782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Твърдица</v>
      </c>
      <c r="C179" s="1772"/>
      <c r="D179" s="1773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49" t="s">
        <v>2055</v>
      </c>
      <c r="F183" s="1750"/>
      <c r="G183" s="1750"/>
      <c r="H183" s="1751"/>
      <c r="I183" s="1758" t="s">
        <v>2056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739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742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192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1670</v>
      </c>
      <c r="K205" s="276">
        <f t="shared" si="48"/>
        <v>0</v>
      </c>
      <c r="L205" s="310">
        <f t="shared" si="48"/>
        <v>1670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1670</v>
      </c>
      <c r="K212" s="323">
        <f t="shared" si="49"/>
        <v>0</v>
      </c>
      <c r="L212" s="320">
        <f t="shared" si="49"/>
        <v>1670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269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717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217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219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1652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231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1657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1654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1655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245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149607</v>
      </c>
      <c r="K275" s="276">
        <f t="shared" si="68"/>
        <v>0</v>
      </c>
      <c r="L275" s="310">
        <f t="shared" si="68"/>
        <v>149607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619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681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682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909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690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151277</v>
      </c>
      <c r="K301" s="398">
        <f t="shared" si="77"/>
        <v>0</v>
      </c>
      <c r="L301" s="395">
        <f t="shared" si="77"/>
        <v>151277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РА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Твърдица</v>
      </c>
      <c r="C350" s="1781"/>
      <c r="D350" s="1782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Твърдица</v>
      </c>
      <c r="C353" s="1772"/>
      <c r="D353" s="1773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1" t="s">
        <v>2057</v>
      </c>
      <c r="F357" s="1762"/>
      <c r="G357" s="1762"/>
      <c r="H357" s="1763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284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306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250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251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253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149528</v>
      </c>
      <c r="K396" s="445">
        <f>SUM(K397:K398)</f>
        <v>0</v>
      </c>
      <c r="L396" s="1378">
        <f t="shared" si="88"/>
        <v>149528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149528</v>
      </c>
      <c r="K397" s="154">
        <v>0</v>
      </c>
      <c r="L397" s="1379">
        <f>I397+J397+K397</f>
        <v>149528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254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-40275</v>
      </c>
      <c r="J399" s="444">
        <f t="shared" si="89"/>
        <v>2999</v>
      </c>
      <c r="K399" s="445">
        <f>SUM(K400:K401)</f>
        <v>0</v>
      </c>
      <c r="L399" s="1378">
        <f t="shared" si="89"/>
        <v>-37276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>
        <v>0</v>
      </c>
      <c r="G400" s="159"/>
      <c r="H400" s="154">
        <v>0</v>
      </c>
      <c r="I400" s="158">
        <v>-40275</v>
      </c>
      <c r="J400" s="159">
        <v>2999</v>
      </c>
      <c r="K400" s="154">
        <v>0</v>
      </c>
      <c r="L400" s="1379">
        <f>I400+J400+K400</f>
        <v>-37276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916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676</v>
      </c>
      <c r="D405" s="180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677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695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257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-40275</v>
      </c>
      <c r="J419" s="496">
        <f t="shared" si="95"/>
        <v>152527</v>
      </c>
      <c r="K419" s="515">
        <f>SUM(K361,K375,K383,K388,K391,K396,K399,K402,K405,K406,K409,K412)</f>
        <v>0</v>
      </c>
      <c r="L419" s="512">
        <f t="shared" si="95"/>
        <v>112252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762</v>
      </c>
      <c r="D422" s="180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700</v>
      </c>
      <c r="D423" s="180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258</v>
      </c>
      <c r="D424" s="1802"/>
      <c r="E424" s="1378">
        <f>F424+G424+H424</f>
        <v>0</v>
      </c>
      <c r="F424" s="483">
        <v>0</v>
      </c>
      <c r="G424" s="484"/>
      <c r="H424" s="1474">
        <v>0</v>
      </c>
      <c r="I424" s="483">
        <v>0</v>
      </c>
      <c r="J424" s="484">
        <v>42624</v>
      </c>
      <c r="K424" s="1474">
        <v>0</v>
      </c>
      <c r="L424" s="1378">
        <f>I424+J424+K424</f>
        <v>42624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679</v>
      </c>
      <c r="D425" s="1802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920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42624</v>
      </c>
      <c r="K429" s="515">
        <f t="shared" si="97"/>
        <v>0</v>
      </c>
      <c r="L429" s="512">
        <f t="shared" si="97"/>
        <v>42624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СРЕДСТВАТА ОТ ЕВРОПЕЙСКИЯ СЪЮЗ - РА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Твърдица</v>
      </c>
      <c r="C435" s="1781"/>
      <c r="D435" s="1782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Твърдица</v>
      </c>
      <c r="C438" s="1772"/>
      <c r="D438" s="1773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2059</v>
      </c>
      <c r="F442" s="1750"/>
      <c r="G442" s="1750"/>
      <c r="H442" s="1751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-40275</v>
      </c>
      <c r="J445" s="547">
        <f t="shared" si="99"/>
        <v>43881</v>
      </c>
      <c r="K445" s="548">
        <f t="shared" si="99"/>
        <v>0</v>
      </c>
      <c r="L445" s="549">
        <f t="shared" si="99"/>
        <v>3606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-3606</v>
      </c>
      <c r="K446" s="555">
        <f t="shared" si="100"/>
        <v>0</v>
      </c>
      <c r="L446" s="556">
        <f>+L597</f>
        <v>-3606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СРЕДСТВАТА ОТ ЕВРОПЕЙСКИЯ СЪЮЗ - РА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Твърдица</v>
      </c>
      <c r="C451" s="1781"/>
      <c r="D451" s="1782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Твърдица</v>
      </c>
      <c r="C454" s="1772"/>
      <c r="D454" s="1773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2" t="s">
        <v>2061</v>
      </c>
      <c r="F458" s="1753"/>
      <c r="G458" s="1753"/>
      <c r="H458" s="1754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763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766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1950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769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776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924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929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930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931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932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310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934</v>
      </c>
      <c r="D535" s="181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935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937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-3606</v>
      </c>
      <c r="K566" s="581">
        <f t="shared" si="128"/>
        <v>0</v>
      </c>
      <c r="L566" s="578">
        <f t="shared" si="128"/>
        <v>-3606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>
        <v>27920</v>
      </c>
      <c r="J567" s="153">
        <v>80810</v>
      </c>
      <c r="K567" s="584">
        <v>0</v>
      </c>
      <c r="L567" s="1379">
        <f t="shared" si="116"/>
        <v>108730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>
        <v>-27920</v>
      </c>
      <c r="J573" s="153">
        <v>-84416</v>
      </c>
      <c r="K573" s="1626">
        <v>0</v>
      </c>
      <c r="L573" s="1393">
        <f t="shared" si="129"/>
        <v>-112336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-3606</v>
      </c>
      <c r="K597" s="666">
        <f t="shared" si="133"/>
        <v>0</v>
      </c>
      <c r="L597" s="662">
        <f t="shared" si="133"/>
        <v>-3606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0" t="s">
        <v>2076</v>
      </c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872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822" t="s">
        <v>2077</v>
      </c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875</v>
      </c>
      <c r="C604" s="1829"/>
      <c r="D604" s="672" t="s">
        <v>876</v>
      </c>
      <c r="E604" s="673"/>
      <c r="F604" s="674"/>
      <c r="G604" s="1830" t="s">
        <v>872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>
        <v>44487</v>
      </c>
      <c r="C605" s="1832"/>
      <c r="D605" s="675" t="s">
        <v>877</v>
      </c>
      <c r="E605" s="676" t="s">
        <v>2078</v>
      </c>
      <c r="F605" s="677"/>
      <c r="G605" s="678" t="s">
        <v>878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10" t="str">
        <f>$B$7</f>
        <v>ОТЧЕТНИ ДАННИ ПО ЕБК ЗА СМЕТКИТЕ ЗА СРЕДСТВАТА ОТ ЕВРОПЕЙСКИЯ СЪЮЗ - РА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0" t="str">
        <f>$B$9</f>
        <v>Твърдица</v>
      </c>
      <c r="C623" s="1781"/>
      <c r="D623" s="1782"/>
      <c r="E623" s="115">
        <f>$E$9</f>
        <v>44197</v>
      </c>
      <c r="F623" s="226">
        <f>$F$9</f>
        <v>44469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3" t="str">
        <f>$B$12</f>
        <v>Твърдица</v>
      </c>
      <c r="C626" s="1844"/>
      <c r="D626" s="1845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49" t="s">
        <v>2072</v>
      </c>
      <c r="F630" s="1750"/>
      <c r="G630" s="1750"/>
      <c r="H630" s="1751"/>
      <c r="I630" s="1758" t="s">
        <v>2073</v>
      </c>
      <c r="J630" s="1759"/>
      <c r="K630" s="1759"/>
      <c r="L630" s="1760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8" t="s">
        <v>2071</v>
      </c>
      <c r="C634" s="1458">
        <f>VLOOKUP(D635,EBK_DEIN2,2,FALSE)</f>
        <v>6606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6606</v>
      </c>
      <c r="D635" s="1452" t="s">
        <v>583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8" t="s">
        <v>739</v>
      </c>
      <c r="D637" s="1779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4" t="s">
        <v>742</v>
      </c>
      <c r="D640" s="177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6" t="s">
        <v>192</v>
      </c>
      <c r="D646" s="1777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7" t="s">
        <v>197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4" t="s">
        <v>198</v>
      </c>
      <c r="D655" s="177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1670</v>
      </c>
      <c r="K655" s="276">
        <f t="shared" si="140"/>
        <v>0</v>
      </c>
      <c r="L655" s="310">
        <f t="shared" si="140"/>
        <v>1670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1670</v>
      </c>
      <c r="K662" s="1428"/>
      <c r="L662" s="320">
        <f t="shared" si="142"/>
        <v>1670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5" t="s">
        <v>269</v>
      </c>
      <c r="D673" s="178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5" t="s">
        <v>717</v>
      </c>
      <c r="D677" s="178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5" t="s">
        <v>217</v>
      </c>
      <c r="D683" s="178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5" t="s">
        <v>219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1" t="s">
        <v>220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1" t="s">
        <v>221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1" t="s">
        <v>1656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5" t="s">
        <v>222</v>
      </c>
      <c r="D690" s="178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5" t="s">
        <v>231</v>
      </c>
      <c r="D705" s="1786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5" t="s">
        <v>232</v>
      </c>
      <c r="D706" s="178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5" t="s">
        <v>233</v>
      </c>
      <c r="D707" s="1786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5" t="s">
        <v>234</v>
      </c>
      <c r="D708" s="178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5" t="s">
        <v>1657</v>
      </c>
      <c r="D715" s="178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5" t="s">
        <v>1654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5" t="s">
        <v>1655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1" t="s">
        <v>244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5" t="s">
        <v>270</v>
      </c>
      <c r="D722" s="178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9" t="s">
        <v>245</v>
      </c>
      <c r="D725" s="1790"/>
      <c r="E725" s="310">
        <f>F725+G725+H725</f>
        <v>0</v>
      </c>
      <c r="F725" s="1422"/>
      <c r="G725" s="1423"/>
      <c r="H725" s="1424"/>
      <c r="I725" s="1422"/>
      <c r="J725" s="1423">
        <v>149607</v>
      </c>
      <c r="K725" s="1424"/>
      <c r="L725" s="310">
        <f>I725+J725+K725</f>
        <v>149607</v>
      </c>
      <c r="M725" s="12">
        <f t="shared" si="155"/>
        <v>1</v>
      </c>
      <c r="N725" s="13"/>
    </row>
    <row r="726" spans="2:14" ht="15.75">
      <c r="B726" s="365">
        <v>5200</v>
      </c>
      <c r="C726" s="1789" t="s">
        <v>246</v>
      </c>
      <c r="D726" s="1790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9" t="s">
        <v>619</v>
      </c>
      <c r="D734" s="1790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9" t="s">
        <v>681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5" t="s">
        <v>682</v>
      </c>
      <c r="D738" s="178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3" t="s">
        <v>909</v>
      </c>
      <c r="D743" s="1794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5" t="s">
        <v>690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5" t="s">
        <v>690</v>
      </c>
      <c r="D748" s="179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151277</v>
      </c>
      <c r="K752" s="398">
        <f t="shared" si="169"/>
        <v>0</v>
      </c>
      <c r="L752" s="395">
        <f t="shared" si="169"/>
        <v>151277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12" sqref="D712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49" t="s">
        <v>2072</v>
      </c>
      <c r="M23" s="1750"/>
      <c r="N23" s="1750"/>
      <c r="O23" s="1751"/>
      <c r="P23" s="1758" t="s">
        <v>2073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739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742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717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1656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1657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1654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1655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619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681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682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909</v>
      </c>
      <c r="K136" s="179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690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690</v>
      </c>
      <c r="K141" s="179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2021-10-18T10:56:50Z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