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84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<sst xmlns="http://schemas.openxmlformats.org/spreadsheetml/2006/main" count="2899" uniqueCount="2089">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</sst>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88" fontId="242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4" fillId="5" borderId="13" xfId="34" applyNumberFormat="1" applyFont="1" applyFill="1" applyBorder="1" applyAlignment="1" applyProtection="1">
      <alignment vertical="center"/>
      <protection locked="0"/>
    </xf>
    <xf numFmtId="188" fontId="242" fillId="53" borderId="70" xfId="34" applyNumberFormat="1" applyFont="1" applyFill="1" applyBorder="1" applyAlignment="1" applyProtection="1">
      <alignment horizontal="center" vertical="center"/>
      <protection/>
    </xf>
    <xf numFmtId="188" fontId="242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87" xfId="34" applyNumberFormat="1" applyFont="1" applyFill="1" applyBorder="1" applyAlignment="1" applyProtection="1">
      <alignment horizontal="center" vertical="center"/>
      <protection locked="0"/>
    </xf>
    <xf numFmtId="3" fontId="5" fillId="0" borderId="189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6" t="str">
        <f>+OTCHET!B9</f>
        <v>Твърдица</v>
      </c>
      <c r="C2" s="1727"/>
      <c r="D2" s="1728"/>
      <c r="E2" s="1008"/>
      <c r="F2" s="1009">
        <f>+OTCHET!H9</f>
        <v>0</v>
      </c>
      <c r="G2" s="1010" t="str">
        <f>+OTCHET!F12</f>
        <v>7004</v>
      </c>
      <c r="H2" s="1011"/>
      <c r="I2" s="1729">
        <f>+OTCHET!H607</f>
        <v>0</v>
      </c>
      <c r="J2" s="1730"/>
      <c r="K2" s="1002"/>
      <c r="L2" s="1731">
        <f>OTCHET!H605</f>
        <v>0</v>
      </c>
      <c r="M2" s="1732"/>
      <c r="N2" s="1733"/>
      <c r="O2" s="1012"/>
      <c r="P2" s="1013">
        <f>OTCHET!E15</f>
        <v>96</v>
      </c>
      <c r="Q2" s="1014" t="str">
        <f>OTCHET!F15</f>
        <v>СЕС - ДЕС</v>
      </c>
      <c r="R2" s="1015"/>
      <c r="S2" s="995" t="s">
        <v>981</v>
      </c>
      <c r="T2" s="1734">
        <f>+OTCHET!I9</f>
        <v>0</v>
      </c>
      <c r="U2" s="1735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36" t="s">
        <v>984</v>
      </c>
      <c r="T4" s="1736"/>
      <c r="U4" s="1736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44834</v>
      </c>
      <c r="M6" s="1008"/>
      <c r="N6" s="1033" t="s">
        <v>986</v>
      </c>
      <c r="O6" s="997"/>
      <c r="P6" s="1034">
        <f>OTCHET!F9</f>
        <v>44834</v>
      </c>
      <c r="Q6" s="1033" t="s">
        <v>986</v>
      </c>
      <c r="R6" s="1035"/>
      <c r="S6" s="1737">
        <f>+Q4</f>
        <v>2022</v>
      </c>
      <c r="T6" s="1737"/>
      <c r="U6" s="1737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17" t="s">
        <v>963</v>
      </c>
      <c r="T8" s="1718"/>
      <c r="U8" s="1719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44834</v>
      </c>
      <c r="H9" s="1008"/>
      <c r="I9" s="1058">
        <f>+L4</f>
        <v>2022</v>
      </c>
      <c r="J9" s="1059">
        <f>+L6</f>
        <v>44834</v>
      </c>
      <c r="K9" s="1060"/>
      <c r="L9" s="1061">
        <f>+L6</f>
        <v>44834</v>
      </c>
      <c r="M9" s="1060"/>
      <c r="N9" s="1062">
        <f>+L6</f>
        <v>44834</v>
      </c>
      <c r="O9" s="1063"/>
      <c r="P9" s="1064">
        <f>+L4</f>
        <v>2022</v>
      </c>
      <c r="Q9" s="1062">
        <f>+L6</f>
        <v>44834</v>
      </c>
      <c r="R9" s="1035"/>
      <c r="S9" s="1720" t="s">
        <v>964</v>
      </c>
      <c r="T9" s="1721"/>
      <c r="U9" s="1722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1" t="s">
        <v>1001</v>
      </c>
      <c r="T13" s="1682"/>
      <c r="U13" s="1683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72" t="s">
        <v>1982</v>
      </c>
      <c r="T14" s="1673"/>
      <c r="U14" s="1674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23" t="s">
        <v>1981</v>
      </c>
      <c r="T15" s="1724"/>
      <c r="U15" s="1725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72" t="s">
        <v>1003</v>
      </c>
      <c r="T16" s="1673"/>
      <c r="U16" s="1674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2" t="s">
        <v>1005</v>
      </c>
      <c r="T17" s="1673"/>
      <c r="U17" s="1674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2" t="s">
        <v>1007</v>
      </c>
      <c r="T18" s="1673"/>
      <c r="U18" s="1674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72" t="s">
        <v>1009</v>
      </c>
      <c r="T19" s="1673"/>
      <c r="U19" s="1674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2" t="s">
        <v>1011</v>
      </c>
      <c r="T20" s="1673"/>
      <c r="U20" s="1674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2" t="s">
        <v>1013</v>
      </c>
      <c r="T21" s="1673"/>
      <c r="U21" s="1674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-17</v>
      </c>
      <c r="K22" s="1084"/>
      <c r="L22" s="1109">
        <f t="shared" si="4"/>
        <v>0</v>
      </c>
      <c r="M22" s="1084"/>
      <c r="N22" s="1110">
        <f t="shared" si="5"/>
        <v>-17</v>
      </c>
      <c r="O22" s="1086"/>
      <c r="P22" s="1108">
        <f>+ROUND(OTCHET!E113+OTCHET!E114+OTCHET!E120,0)</f>
        <v>0</v>
      </c>
      <c r="Q22" s="1109">
        <f>+ROUND(OTCHET!L113+OTCHET!L114+OTCHET!L120,0)</f>
        <v>-17</v>
      </c>
      <c r="R22" s="1035"/>
      <c r="S22" s="1702" t="s">
        <v>1983</v>
      </c>
      <c r="T22" s="1703"/>
      <c r="U22" s="1704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-17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-17</v>
      </c>
      <c r="O23" s="1086"/>
      <c r="P23" s="1114">
        <f>+ROUND(+SUM(P13,P14,P16,P17,P18,P19,P20,P21,P22),0)</f>
        <v>0</v>
      </c>
      <c r="Q23" s="1114">
        <f>+ROUND(+SUM(Q13,Q14,Q16,Q17,Q18,Q19,Q20,Q21,Q22),0)</f>
        <v>-17</v>
      </c>
      <c r="R23" s="1035"/>
      <c r="S23" s="1687" t="s">
        <v>1016</v>
      </c>
      <c r="T23" s="1688"/>
      <c r="U23" s="1689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81" t="s">
        <v>1019</v>
      </c>
      <c r="T25" s="1682"/>
      <c r="U25" s="1683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72" t="s">
        <v>1021</v>
      </c>
      <c r="T26" s="1673"/>
      <c r="U26" s="1674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702" t="s">
        <v>1023</v>
      </c>
      <c r="T27" s="1703"/>
      <c r="U27" s="1704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7" t="s">
        <v>1025</v>
      </c>
      <c r="T28" s="1688"/>
      <c r="U28" s="1689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7" t="s">
        <v>1032</v>
      </c>
      <c r="T35" s="1688"/>
      <c r="U35" s="1689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14" t="s">
        <v>1034</v>
      </c>
      <c r="T36" s="1715"/>
      <c r="U36" s="1716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8" t="s">
        <v>1036</v>
      </c>
      <c r="T37" s="1709"/>
      <c r="U37" s="1710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11" t="s">
        <v>1038</v>
      </c>
      <c r="T38" s="1712"/>
      <c r="U38" s="1713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7" t="s">
        <v>1040</v>
      </c>
      <c r="T40" s="1688"/>
      <c r="U40" s="1689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81" t="s">
        <v>1043</v>
      </c>
      <c r="T42" s="1682"/>
      <c r="U42" s="1683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72" t="s">
        <v>1045</v>
      </c>
      <c r="T43" s="1673"/>
      <c r="U43" s="1674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72" t="s">
        <v>1046</v>
      </c>
      <c r="T44" s="1673"/>
      <c r="U44" s="1674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702" t="s">
        <v>1048</v>
      </c>
      <c r="T45" s="1703"/>
      <c r="U45" s="1704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7" t="s">
        <v>1050</v>
      </c>
      <c r="T46" s="1688"/>
      <c r="U46" s="1689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-17</v>
      </c>
      <c r="K48" s="1084"/>
      <c r="L48" s="1189">
        <f>+ROUND(L23+L28+L35+L40+L46,0)</f>
        <v>0</v>
      </c>
      <c r="M48" s="1084"/>
      <c r="N48" s="1190">
        <f>+ROUND(N23+N28+N35+N40+N46,0)</f>
        <v>-17</v>
      </c>
      <c r="O48" s="1191"/>
      <c r="P48" s="1188">
        <f>+ROUND(P23+P28+P35+P40+P46,0)</f>
        <v>0</v>
      </c>
      <c r="Q48" s="1189">
        <f>+ROUND(Q23+Q28+Q35+Q40+Q46,0)</f>
        <v>-17</v>
      </c>
      <c r="R48" s="1035"/>
      <c r="S48" s="1699" t="s">
        <v>1052</v>
      </c>
      <c r="T48" s="1700"/>
      <c r="U48" s="1701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6640</v>
      </c>
      <c r="K51" s="1084"/>
      <c r="L51" s="1091">
        <f>+IF($P$2=33,$Q51,0)</f>
        <v>0</v>
      </c>
      <c r="M51" s="1084"/>
      <c r="N51" s="1121">
        <f>+ROUND(+G51+J51+L51,0)</f>
        <v>6640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6640</v>
      </c>
      <c r="R51" s="1035"/>
      <c r="S51" s="1681" t="s">
        <v>1056</v>
      </c>
      <c r="T51" s="1682"/>
      <c r="U51" s="1683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2" t="s">
        <v>1058</v>
      </c>
      <c r="T52" s="1673"/>
      <c r="U52" s="1674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2" t="s">
        <v>1060</v>
      </c>
      <c r="T53" s="1673"/>
      <c r="U53" s="1674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72" t="s">
        <v>1062</v>
      </c>
      <c r="T54" s="1673"/>
      <c r="U54" s="1674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02" t="s">
        <v>1064</v>
      </c>
      <c r="T55" s="1703"/>
      <c r="U55" s="1704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6640</v>
      </c>
      <c r="K56" s="1084"/>
      <c r="L56" s="1197">
        <f>+ROUND(+SUM(L51:L55),0)</f>
        <v>0</v>
      </c>
      <c r="M56" s="1084"/>
      <c r="N56" s="1198">
        <f>+ROUND(+SUM(N51:N55),0)</f>
        <v>6640</v>
      </c>
      <c r="O56" s="1086"/>
      <c r="P56" s="1196">
        <f>+ROUND(+SUM(P51:P55),0)</f>
        <v>0</v>
      </c>
      <c r="Q56" s="1197">
        <f>+ROUND(+SUM(Q51:Q55),0)</f>
        <v>6640</v>
      </c>
      <c r="R56" s="1035"/>
      <c r="S56" s="1687" t="s">
        <v>1066</v>
      </c>
      <c r="T56" s="1688"/>
      <c r="U56" s="1689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1" t="s">
        <v>1069</v>
      </c>
      <c r="T58" s="1682"/>
      <c r="U58" s="1683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2" t="s">
        <v>1071</v>
      </c>
      <c r="T59" s="1673"/>
      <c r="U59" s="1674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2" t="s">
        <v>1073</v>
      </c>
      <c r="T60" s="1673"/>
      <c r="U60" s="1674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02" t="s">
        <v>1075</v>
      </c>
      <c r="T61" s="1703"/>
      <c r="U61" s="1704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7" t="s">
        <v>1079</v>
      </c>
      <c r="T63" s="1688"/>
      <c r="U63" s="1689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1" t="s">
        <v>1082</v>
      </c>
      <c r="T65" s="1682"/>
      <c r="U65" s="1683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2" t="s">
        <v>1084</v>
      </c>
      <c r="T66" s="1673"/>
      <c r="U66" s="1674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7" t="s">
        <v>1086</v>
      </c>
      <c r="T67" s="1688"/>
      <c r="U67" s="1689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1" t="s">
        <v>1089</v>
      </c>
      <c r="T69" s="1682"/>
      <c r="U69" s="1683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2" t="s">
        <v>1091</v>
      </c>
      <c r="T70" s="1673"/>
      <c r="U70" s="1674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7" t="s">
        <v>1093</v>
      </c>
      <c r="T71" s="1688"/>
      <c r="U71" s="1689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81" t="s">
        <v>1096</v>
      </c>
      <c r="T73" s="1682"/>
      <c r="U73" s="1683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2" t="s">
        <v>1098</v>
      </c>
      <c r="T74" s="1673"/>
      <c r="U74" s="1674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7" t="s">
        <v>1100</v>
      </c>
      <c r="T75" s="1688"/>
      <c r="U75" s="1689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6640</v>
      </c>
      <c r="K77" s="1084"/>
      <c r="L77" s="1222">
        <f>+ROUND(L56+L63+L67+L71+L75,0)</f>
        <v>0</v>
      </c>
      <c r="M77" s="1084"/>
      <c r="N77" s="1223">
        <f>+ROUND(N56+N63+N67+N71+N75,0)</f>
        <v>6640</v>
      </c>
      <c r="O77" s="1086"/>
      <c r="P77" s="1220">
        <f>+ROUND(P56+P63+P67+P71+P75,0)</f>
        <v>0</v>
      </c>
      <c r="Q77" s="1221">
        <f>+ROUND(Q56+Q63+Q67+Q71+Q75,0)</f>
        <v>6640</v>
      </c>
      <c r="R77" s="1035"/>
      <c r="S77" s="1690" t="s">
        <v>1102</v>
      </c>
      <c r="T77" s="1691"/>
      <c r="U77" s="1692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-8436</v>
      </c>
      <c r="K79" s="1084"/>
      <c r="L79" s="1097">
        <f>+IF($P$2=33,$Q79,0)</f>
        <v>0</v>
      </c>
      <c r="M79" s="1084"/>
      <c r="N79" s="1098">
        <f>+ROUND(+G79+J79+L79,0)</f>
        <v>-8436</v>
      </c>
      <c r="O79" s="1086"/>
      <c r="P79" s="1096">
        <f>+ROUND(OTCHET!E419,0)</f>
        <v>0</v>
      </c>
      <c r="Q79" s="1097">
        <f>+ROUND(OTCHET!L419,0)</f>
        <v>-8436</v>
      </c>
      <c r="R79" s="1035"/>
      <c r="S79" s="1681" t="s">
        <v>1105</v>
      </c>
      <c r="T79" s="1682"/>
      <c r="U79" s="1683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2" t="s">
        <v>1107</v>
      </c>
      <c r="T80" s="1673"/>
      <c r="U80" s="1674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-8436</v>
      </c>
      <c r="K81" s="1084"/>
      <c r="L81" s="1231">
        <f>+ROUND(L79+L80,0)</f>
        <v>0</v>
      </c>
      <c r="M81" s="1084"/>
      <c r="N81" s="1232">
        <f>+ROUND(N79+N80,0)</f>
        <v>-8436</v>
      </c>
      <c r="O81" s="1086"/>
      <c r="P81" s="1230">
        <f>+ROUND(P79+P80,0)</f>
        <v>0</v>
      </c>
      <c r="Q81" s="1231">
        <f>+ROUND(Q79+Q80,0)</f>
        <v>-8436</v>
      </c>
      <c r="R81" s="1035"/>
      <c r="S81" s="1678" t="s">
        <v>1109</v>
      </c>
      <c r="T81" s="1679"/>
      <c r="U81" s="1680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5">
        <f>+IF(+SUM(F82:N82)=0,0,"Контрола: дефицит/излишък = финансиране с обратен знак (Г. + Д. = 0)")</f>
        <v>0</v>
      </c>
      <c r="C82" s="1706"/>
      <c r="D82" s="1707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-15093</v>
      </c>
      <c r="K83" s="1084"/>
      <c r="L83" s="1244">
        <f>+ROUND(L48,0)-ROUND(L77,0)+ROUND(L81,0)</f>
        <v>0</v>
      </c>
      <c r="M83" s="1084"/>
      <c r="N83" s="1245">
        <f>+ROUND(N48,0)-ROUND(N77,0)+ROUND(N81,0)</f>
        <v>-15093</v>
      </c>
      <c r="O83" s="1246"/>
      <c r="P83" s="1243">
        <f>+ROUND(P48,0)-ROUND(P77,0)+ROUND(P81,0)</f>
        <v>0</v>
      </c>
      <c r="Q83" s="1244">
        <f>+ROUND(Q48,0)-ROUND(Q77,0)+ROUND(Q81,0)</f>
        <v>-15093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15093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15093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15093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1" t="s">
        <v>1115</v>
      </c>
      <c r="T87" s="1682"/>
      <c r="U87" s="1683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2" t="s">
        <v>1117</v>
      </c>
      <c r="T88" s="1673"/>
      <c r="U88" s="1674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7" t="s">
        <v>1119</v>
      </c>
      <c r="T89" s="1688"/>
      <c r="U89" s="1689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1" t="s">
        <v>1122</v>
      </c>
      <c r="T91" s="1682"/>
      <c r="U91" s="1683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2" t="s">
        <v>1124</v>
      </c>
      <c r="T92" s="1673"/>
      <c r="U92" s="1674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2" t="s">
        <v>1126</v>
      </c>
      <c r="T93" s="1673"/>
      <c r="U93" s="1674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02" t="s">
        <v>1128</v>
      </c>
      <c r="T94" s="1703"/>
      <c r="U94" s="1704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7" t="s">
        <v>1130</v>
      </c>
      <c r="T95" s="1688"/>
      <c r="U95" s="1689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1" t="s">
        <v>1133</v>
      </c>
      <c r="T97" s="1682"/>
      <c r="U97" s="1683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2" t="s">
        <v>1135</v>
      </c>
      <c r="T98" s="1673"/>
      <c r="U98" s="1674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7" t="s">
        <v>1137</v>
      </c>
      <c r="T99" s="1688"/>
      <c r="U99" s="1689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9" t="s">
        <v>1139</v>
      </c>
      <c r="T101" s="1700"/>
      <c r="U101" s="1701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1" t="s">
        <v>1143</v>
      </c>
      <c r="T104" s="1682"/>
      <c r="U104" s="1683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2" t="s">
        <v>1145</v>
      </c>
      <c r="T105" s="1673"/>
      <c r="U105" s="1674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7" t="s">
        <v>1147</v>
      </c>
      <c r="T106" s="1688"/>
      <c r="U106" s="1689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93" t="s">
        <v>1150</v>
      </c>
      <c r="T108" s="1694"/>
      <c r="U108" s="1695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6" t="s">
        <v>1152</v>
      </c>
      <c r="T109" s="1697"/>
      <c r="U109" s="1698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7" t="s">
        <v>1154</v>
      </c>
      <c r="T110" s="1688"/>
      <c r="U110" s="1689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1" t="s">
        <v>1157</v>
      </c>
      <c r="T112" s="1682"/>
      <c r="U112" s="1683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2" t="s">
        <v>1159</v>
      </c>
      <c r="T113" s="1673"/>
      <c r="U113" s="1674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7" t="s">
        <v>1161</v>
      </c>
      <c r="T114" s="1688"/>
      <c r="U114" s="1689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1" t="s">
        <v>1164</v>
      </c>
      <c r="T116" s="1682"/>
      <c r="U116" s="1683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2" t="s">
        <v>1166</v>
      </c>
      <c r="T117" s="1673"/>
      <c r="U117" s="1674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7" t="s">
        <v>1168</v>
      </c>
      <c r="T118" s="1688"/>
      <c r="U118" s="1689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90" t="s">
        <v>1170</v>
      </c>
      <c r="T120" s="1691"/>
      <c r="U120" s="1692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1" t="s">
        <v>1173</v>
      </c>
      <c r="T122" s="1682"/>
      <c r="U122" s="1683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15093</v>
      </c>
      <c r="K123" s="1084"/>
      <c r="L123" s="1109">
        <f>+IF($P$2=33,$Q123,0)</f>
        <v>0</v>
      </c>
      <c r="M123" s="1084"/>
      <c r="N123" s="1110">
        <f>+ROUND(+G123+J123+L123,0)</f>
        <v>15093</v>
      </c>
      <c r="O123" s="1086"/>
      <c r="P123" s="1108">
        <f>+ROUND(OTCHET!E524,0)</f>
        <v>0</v>
      </c>
      <c r="Q123" s="1109">
        <f>+ROUND(OTCHET!L524,0)</f>
        <v>15093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2" t="s">
        <v>1177</v>
      </c>
      <c r="T124" s="1673"/>
      <c r="U124" s="1674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75" t="s">
        <v>1179</v>
      </c>
      <c r="T126" s="1676"/>
      <c r="U126" s="1677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15093</v>
      </c>
      <c r="K127" s="1084"/>
      <c r="L127" s="1231">
        <f>+ROUND(+SUM(L122:L126),0)</f>
        <v>0</v>
      </c>
      <c r="M127" s="1084"/>
      <c r="N127" s="1232">
        <f>+ROUND(+SUM(N122:N126),0)</f>
        <v>15093</v>
      </c>
      <c r="O127" s="1086"/>
      <c r="P127" s="1230">
        <f>+ROUND(+SUM(P122:P126),0)</f>
        <v>0</v>
      </c>
      <c r="Q127" s="1231">
        <f>+ROUND(+SUM(Q122:Q126),0)</f>
        <v>15093</v>
      </c>
      <c r="R127" s="1035"/>
      <c r="S127" s="1678" t="s">
        <v>1181</v>
      </c>
      <c r="T127" s="1679"/>
      <c r="U127" s="1680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1" t="s">
        <v>1184</v>
      </c>
      <c r="T129" s="1682"/>
      <c r="U129" s="1683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2" t="s">
        <v>1186</v>
      </c>
      <c r="T130" s="1673"/>
      <c r="U130" s="1674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84" t="s">
        <v>1188</v>
      </c>
      <c r="T131" s="1685"/>
      <c r="U131" s="1686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6" t="s">
        <v>1190</v>
      </c>
      <c r="T132" s="1667"/>
      <c r="U132" s="1668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9">
        <f>+IF(+SUM(F133:N133)=0,0,"Контрола: дефицит/излишък = финансиране с обратен знак (Г. + Д. = 0)")</f>
        <v>0</v>
      </c>
      <c r="C133" s="1669"/>
      <c r="D133" s="1669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44847</v>
      </c>
      <c r="D134" s="1236" t="s">
        <v>1192</v>
      </c>
      <c r="E134" s="1008"/>
      <c r="F134" s="1670"/>
      <c r="G134" s="1670"/>
      <c r="H134" s="1008"/>
      <c r="I134" s="1293" t="s">
        <v>1193</v>
      </c>
      <c r="J134" s="1294"/>
      <c r="K134" s="1008"/>
      <c r="L134" s="1670"/>
      <c r="M134" s="1670"/>
      <c r="N134" s="1670"/>
      <c r="O134" s="1288"/>
      <c r="P134" s="1671"/>
      <c r="Q134" s="1671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ДЕС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44834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8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9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9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96</v>
      </c>
      <c r="F15" s="707" t="str">
        <f>OTCHET!F15</f>
        <v>СЕС - ДЕС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40" t="str">
        <f>CONCATENATE("Годишен         уточнен план                           ",OTCHET!$C$3," г.")</f>
        <v>Годишен         уточнен план                           2022 г.</v>
      </c>
      <c r="F17" s="1742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41"/>
      <c r="F18" s="1743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-17</v>
      </c>
      <c r="G22" s="753">
        <f>+G23+G25+G36+G37</f>
        <v>-17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-17</v>
      </c>
      <c r="G25" s="772">
        <f>+G26+G30+G31+G32+G33</f>
        <v>-17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-17</v>
      </c>
      <c r="G32" s="805">
        <f>OTCHET!I112+OTCHET!I121+OTCHET!I137+OTCHET!I138</f>
        <v>-17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6640</v>
      </c>
      <c r="G38" s="837">
        <f>G39+G43+G44+G46+SUM(G48:G52)+G55</f>
        <v>6640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6640</v>
      </c>
      <c r="G43" s="805">
        <f>+OTCHET!I205+OTCHET!I223+OTCHET!I271</f>
        <v>6640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-8436</v>
      </c>
      <c r="G56" s="882">
        <f>+G57+G58+G62</f>
        <v>-8436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-8436</v>
      </c>
      <c r="G58" s="891">
        <f>+OTCHET!I383+OTCHET!I391+OTCHET!I396+OTCHET!I399+OTCHET!I402+OTCHET!I405+OTCHET!I406+OTCHET!I409+OTCHET!I422+OTCHET!I423+OTCHET!I424+OTCHET!I425+OTCHET!I426</f>
        <v>-8436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-15093</v>
      </c>
      <c r="G64" s="917">
        <f>+G22-G38+G56-G63</f>
        <v>-15093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15093</v>
      </c>
      <c r="G66" s="927">
        <f>SUM(+G68+G76+G77+G84+G85+G86+G89+G90+G91+G92+G93+G94+G95)</f>
        <v>15093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15093</v>
      </c>
      <c r="G86" s="895">
        <f>+G87+G88</f>
        <v>15093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15093</v>
      </c>
      <c r="G88" s="953">
        <f>+OTCHET!I521+OTCHET!I524+OTCHET!I544</f>
        <v>15093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44" t="s">
        <v>975</v>
      </c>
      <c r="H108" s="1744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5" t="str">
        <f>+OTCHET!D603</f>
        <v>Ирина Азманова</v>
      </c>
      <c r="F110" s="1745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5" t="str">
        <f>+OTCHET!G600</f>
        <v>Диана Димитрова</v>
      </c>
      <c r="F114" s="1745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7">
      <selection activeCell="E606" sqref="E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3" t="s">
        <v>2083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9" t="str">
        <f>VLOOKUP(E15,SMETKA,2,FALSE)</f>
        <v>ОТЧЕТНИ ДАННИ ПО ЕБК ЗА СМЕТКИТЕ ЗА СРЕДСТВАТА ОТ ЕВРОПЕЙСКИЯ СЪЮЗ - ДЕС</v>
      </c>
      <c r="C7" s="1830"/>
      <c r="D7" s="183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1" t="s">
        <v>1854</v>
      </c>
      <c r="C9" s="1832"/>
      <c r="D9" s="1833"/>
      <c r="E9" s="115">
        <f>DATE($C$3,1,1)</f>
        <v>44562</v>
      </c>
      <c r="F9" s="116">
        <v>44834</v>
      </c>
      <c r="G9" s="113"/>
      <c r="H9" s="1404"/>
      <c r="I9" s="1786"/>
      <c r="J9" s="1787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септември</v>
      </c>
      <c r="G10" s="113"/>
      <c r="H10" s="114"/>
      <c r="I10" s="1788" t="s">
        <v>957</v>
      </c>
      <c r="J10" s="178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9"/>
      <c r="J11" s="1789"/>
      <c r="K11" s="113"/>
      <c r="L11" s="113"/>
      <c r="M11" s="7">
        <v>1</v>
      </c>
      <c r="N11" s="108"/>
    </row>
    <row r="12" spans="2:14" ht="27" customHeight="1">
      <c r="B12" s="1813" t="str">
        <f>VLOOKUP(F12,PRBK,2,FALSE)</f>
        <v>Твърдица</v>
      </c>
      <c r="C12" s="1814"/>
      <c r="D12" s="1815"/>
      <c r="E12" s="118" t="s">
        <v>951</v>
      </c>
      <c r="F12" s="1571" t="s">
        <v>1534</v>
      </c>
      <c r="G12" s="113"/>
      <c r="H12" s="114"/>
      <c r="I12" s="1789"/>
      <c r="J12" s="1789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54" t="str">
        <f>CONCATENATE("Уточнен план ",$C$3," - ПРИХОДИ")</f>
        <v>Уточнен план 2022 - ПРИХОДИ</v>
      </c>
      <c r="F19" s="1755"/>
      <c r="G19" s="1755"/>
      <c r="H19" s="1756"/>
      <c r="I19" s="1837" t="str">
        <f>CONCATENATE("Отчет ",$C$3," - ПРИХОДИ")</f>
        <v>Отчет 2022 - ПРИХОДИ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7" t="s">
        <v>465</v>
      </c>
      <c r="D22" s="182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7" t="s">
        <v>467</v>
      </c>
      <c r="D28" s="1828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7" t="s">
        <v>126</v>
      </c>
      <c r="D33" s="1828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7" t="s">
        <v>121</v>
      </c>
      <c r="D39" s="1828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-17</v>
      </c>
      <c r="J112" s="169">
        <f t="shared" si="21"/>
        <v>0</v>
      </c>
      <c r="K112" s="170">
        <f>SUM(K113:K120)</f>
        <v>0</v>
      </c>
      <c r="L112" s="1365">
        <f t="shared" si="21"/>
        <v>-17</v>
      </c>
      <c r="M112" s="7">
        <f t="shared" si="16"/>
        <v>1</v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>
        <v>-17</v>
      </c>
      <c r="J113" s="153"/>
      <c r="K113" s="154">
        <v>0</v>
      </c>
      <c r="L113" s="281">
        <f aca="true" t="shared" si="23" ref="L113:L120">I113+J113+K113</f>
        <v>-17</v>
      </c>
      <c r="M113" s="7">
        <f t="shared" si="16"/>
        <v>1</v>
      </c>
      <c r="N113" s="155"/>
    </row>
    <row r="114" spans="1:14" ht="18.75" customHeight="1">
      <c r="A114" s="23"/>
      <c r="B114" s="149"/>
      <c r="C114" s="156">
        <v>3605</v>
      </c>
      <c r="D114" s="157" t="s">
        <v>2002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-17</v>
      </c>
      <c r="J169" s="212">
        <f t="shared" si="39"/>
        <v>0</v>
      </c>
      <c r="K169" s="213">
        <f t="shared" si="39"/>
        <v>0</v>
      </c>
      <c r="L169" s="210">
        <f t="shared" si="39"/>
        <v>-17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5" t="str">
        <f>$B$7</f>
        <v>ОТЧЕТНИ ДАННИ ПО ЕБК ЗА СМЕТКИТЕ ЗА СРЕДСТВАТА ОТ ЕВРОПЕЙСКИЯ СЪЮЗ - ДЕС</v>
      </c>
      <c r="C174" s="1826"/>
      <c r="D174" s="182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48" t="str">
        <f>$B$9</f>
        <v>Твърдица</v>
      </c>
      <c r="C176" s="1749"/>
      <c r="D176" s="1750"/>
      <c r="E176" s="115">
        <f>$E$9</f>
        <v>44562</v>
      </c>
      <c r="F176" s="226">
        <f>$F$9</f>
        <v>44834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3" t="str">
        <f>$B$12</f>
        <v>Твърдица</v>
      </c>
      <c r="C179" s="1814"/>
      <c r="D179" s="1815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54" t="str">
        <f>CONCATENATE("Уточнен план ",$C$3," - РАЗХОДИ - рекапитулация")</f>
        <v>Уточнен план 2022 - РАЗХОДИ - рекапитулация</v>
      </c>
      <c r="F183" s="1755"/>
      <c r="G183" s="1755"/>
      <c r="H183" s="1756"/>
      <c r="I183" s="1757" t="str">
        <f>CONCATENATE("Отчет ",$C$3," - РАЗХОДИ - рекапитулация")</f>
        <v>Отчет 2022 - РАЗХОДИ - рекапитулация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2" t="s">
        <v>733</v>
      </c>
      <c r="D187" s="176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4" t="s">
        <v>736</v>
      </c>
      <c r="D190" s="176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6" t="s">
        <v>192</v>
      </c>
      <c r="D196" s="176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8" t="s">
        <v>197</v>
      </c>
      <c r="D204" s="176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4" t="s">
        <v>198</v>
      </c>
      <c r="D205" s="176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6640</v>
      </c>
      <c r="J205" s="275">
        <f t="shared" si="48"/>
        <v>0</v>
      </c>
      <c r="K205" s="276">
        <f t="shared" si="48"/>
        <v>0</v>
      </c>
      <c r="L205" s="310">
        <f t="shared" si="48"/>
        <v>6640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5583</v>
      </c>
      <c r="J212" s="322">
        <f t="shared" si="49"/>
        <v>0</v>
      </c>
      <c r="K212" s="323">
        <f t="shared" si="49"/>
        <v>0</v>
      </c>
      <c r="L212" s="320">
        <f t="shared" si="49"/>
        <v>5583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1057</v>
      </c>
      <c r="J215" s="297">
        <f t="shared" si="49"/>
        <v>0</v>
      </c>
      <c r="K215" s="298">
        <f t="shared" si="49"/>
        <v>0</v>
      </c>
      <c r="L215" s="295">
        <f t="shared" si="49"/>
        <v>1057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70" t="s">
        <v>269</v>
      </c>
      <c r="D223" s="177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70" t="s">
        <v>711</v>
      </c>
      <c r="D227" s="177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70" t="s">
        <v>217</v>
      </c>
      <c r="D233" s="177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70" t="s">
        <v>219</v>
      </c>
      <c r="D236" s="177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0" t="s">
        <v>220</v>
      </c>
      <c r="D237" s="176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0" t="s">
        <v>221</v>
      </c>
      <c r="D238" s="176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0" t="s">
        <v>1646</v>
      </c>
      <c r="D239" s="176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70" t="s">
        <v>222</v>
      </c>
      <c r="D240" s="177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70" t="s">
        <v>231</v>
      </c>
      <c r="D255" s="177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70" t="s">
        <v>232</v>
      </c>
      <c r="D256" s="177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70" t="s">
        <v>233</v>
      </c>
      <c r="D257" s="177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70" t="s">
        <v>234</v>
      </c>
      <c r="D258" s="177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70" t="s">
        <v>1651</v>
      </c>
      <c r="D265" s="177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70" t="s">
        <v>1648</v>
      </c>
      <c r="D269" s="177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70" t="s">
        <v>1649</v>
      </c>
      <c r="D270" s="177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0" t="s">
        <v>244</v>
      </c>
      <c r="D271" s="176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70" t="s">
        <v>270</v>
      </c>
      <c r="D272" s="177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4" t="s">
        <v>245</v>
      </c>
      <c r="D275" s="177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74" t="s">
        <v>246</v>
      </c>
      <c r="D276" s="177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4" t="s">
        <v>617</v>
      </c>
      <c r="D284" s="177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4" t="s">
        <v>675</v>
      </c>
      <c r="D287" s="177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70" t="s">
        <v>676</v>
      </c>
      <c r="D288" s="177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6" t="s">
        <v>903</v>
      </c>
      <c r="D293" s="177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72" t="s">
        <v>684</v>
      </c>
      <c r="D297" s="177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6640</v>
      </c>
      <c r="J301" s="397">
        <f t="shared" si="77"/>
        <v>0</v>
      </c>
      <c r="K301" s="398">
        <f t="shared" si="77"/>
        <v>0</v>
      </c>
      <c r="L301" s="395">
        <f t="shared" si="77"/>
        <v>6640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4"/>
      <c r="C306" s="1819"/>
      <c r="D306" s="181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8"/>
      <c r="C311" s="1819"/>
      <c r="D311" s="181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0"/>
      <c r="C344" s="1820"/>
      <c r="D344" s="182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3" t="str">
        <f>$B$7</f>
        <v>ОТЧЕТНИ ДАННИ ПО ЕБК ЗА СМЕТКИТЕ ЗА СРЕДСТВАТА ОТ ЕВРОПЕЙСКИЯ СЪЮЗ - ДЕС</v>
      </c>
      <c r="C348" s="1823"/>
      <c r="D348" s="182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48" t="str">
        <f>$B$9</f>
        <v>Твърдица</v>
      </c>
      <c r="C350" s="1749"/>
      <c r="D350" s="1750"/>
      <c r="E350" s="115">
        <f>$E$9</f>
        <v>44562</v>
      </c>
      <c r="F350" s="407">
        <f>$F$9</f>
        <v>44834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3" t="str">
        <f>$B$12</f>
        <v>Твърдица</v>
      </c>
      <c r="C353" s="1814"/>
      <c r="D353" s="1815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40" t="str">
        <f>CONCATENATE("Уточнен план ",$C$3," - ТРАНСФЕРИ и ВРЕМ. БЕЗЛ. ЗАЕМИ")</f>
        <v>Уточнен план 2022 - ТРАНСФЕРИ и ВРЕМ. БЕЗЛ. ЗАЕМИ</v>
      </c>
      <c r="F357" s="1841"/>
      <c r="G357" s="1841"/>
      <c r="H357" s="1842"/>
      <c r="I357" s="1843" t="str">
        <f>CONCATENATE("Отчет ",$C$3," - ТРАНСФЕРИ и ВРЕМ. БЕЗЛ. ЗАЕМИ")</f>
        <v>Отчет 2022 - ТРАНСФЕРИ и ВРЕМ. БЕЗЛ. ЗАЕМИ</v>
      </c>
      <c r="J357" s="1844"/>
      <c r="K357" s="1844"/>
      <c r="L357" s="184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21" t="s">
        <v>273</v>
      </c>
      <c r="D361" s="1822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0" t="s">
        <v>284</v>
      </c>
      <c r="D375" s="179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0" t="s">
        <v>306</v>
      </c>
      <c r="D383" s="179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0" t="s">
        <v>250</v>
      </c>
      <c r="D388" s="179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9"/>
      <c r="G390" s="159"/>
      <c r="H390" s="468">
        <v>0</v>
      </c>
      <c r="I390" s="159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0" t="s">
        <v>251</v>
      </c>
      <c r="D391" s="1791"/>
      <c r="E391" s="1367">
        <f aca="true" t="shared" si="87" ref="E391:L391">SUM(E392:E395)</f>
        <v>0</v>
      </c>
      <c r="F391" s="1653">
        <f t="shared" si="87"/>
        <v>0</v>
      </c>
      <c r="G391" s="1653">
        <f t="shared" si="87"/>
        <v>0</v>
      </c>
      <c r="H391" s="1653">
        <f t="shared" si="87"/>
        <v>0</v>
      </c>
      <c r="I391" s="1653">
        <f t="shared" si="87"/>
        <v>0</v>
      </c>
      <c r="J391" s="1653">
        <f t="shared" si="87"/>
        <v>0</v>
      </c>
      <c r="K391" s="1653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2">
        <v>0</v>
      </c>
      <c r="G392" s="1654">
        <v>0</v>
      </c>
      <c r="H392" s="154">
        <v>0</v>
      </c>
      <c r="I392" s="482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1455">
        <v>0</v>
      </c>
      <c r="G393" s="1654">
        <v>0</v>
      </c>
      <c r="H393" s="160">
        <v>0</v>
      </c>
      <c r="I393" s="1455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1455">
        <v>0</v>
      </c>
      <c r="G394" s="1654">
        <v>0</v>
      </c>
      <c r="H394" s="160">
        <v>0</v>
      </c>
      <c r="I394" s="1455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64"/>
      <c r="G395" s="1665"/>
      <c r="H395" s="175">
        <v>0</v>
      </c>
      <c r="I395" s="1664"/>
      <c r="J395" s="1665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90" t="s">
        <v>253</v>
      </c>
      <c r="D396" s="179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0" t="s">
        <v>254</v>
      </c>
      <c r="D399" s="179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-8436</v>
      </c>
      <c r="J399" s="440">
        <f t="shared" si="89"/>
        <v>0</v>
      </c>
      <c r="K399" s="441">
        <f>SUM(K400:K401)</f>
        <v>0</v>
      </c>
      <c r="L399" s="1367">
        <f t="shared" si="89"/>
        <v>-8436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655">
        <v>0</v>
      </c>
      <c r="G400" s="1604"/>
      <c r="H400" s="154">
        <v>0</v>
      </c>
      <c r="I400" s="1655">
        <v>-8436</v>
      </c>
      <c r="J400" s="1604"/>
      <c r="K400" s="154">
        <v>0</v>
      </c>
      <c r="L400" s="1368">
        <f>I400+J400+K400</f>
        <v>-8436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73"/>
      <c r="G401" s="1604"/>
      <c r="H401" s="468">
        <v>0</v>
      </c>
      <c r="I401" s="173"/>
      <c r="J401" s="1604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0" t="s">
        <v>910</v>
      </c>
      <c r="D402" s="179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0" t="s">
        <v>670</v>
      </c>
      <c r="D405" s="179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0" t="s">
        <v>671</v>
      </c>
      <c r="D406" s="179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0" t="s">
        <v>689</v>
      </c>
      <c r="D409" s="179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0" t="s">
        <v>257</v>
      </c>
      <c r="D412" s="179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-8436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-8436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0" t="s">
        <v>756</v>
      </c>
      <c r="D422" s="1791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0" t="s">
        <v>694</v>
      </c>
      <c r="D423" s="1791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0" t="s">
        <v>258</v>
      </c>
      <c r="D424" s="1791"/>
      <c r="E424" s="1367">
        <f>F424+G424+H424</f>
        <v>0</v>
      </c>
      <c r="F424" s="479"/>
      <c r="G424" s="480"/>
      <c r="H424" s="1463">
        <v>0</v>
      </c>
      <c r="I424" s="479"/>
      <c r="J424" s="1656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90" t="s">
        <v>673</v>
      </c>
      <c r="D425" s="1791"/>
      <c r="E425" s="1367">
        <f>F425+G425+H425</f>
        <v>0</v>
      </c>
      <c r="F425" s="479"/>
      <c r="G425" s="1656"/>
      <c r="H425" s="1597">
        <v>0</v>
      </c>
      <c r="I425" s="479"/>
      <c r="J425" s="1656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0" t="s">
        <v>914</v>
      </c>
      <c r="D426" s="179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6" t="str">
        <f>$B$7</f>
        <v>ОТЧЕТНИ ДАННИ ПО ЕБК ЗА СМЕТКИТЕ ЗА СРЕДСТВАТА ОТ ЕВРОПЕЙСКИЯ СЪЮЗ - ДЕС</v>
      </c>
      <c r="C433" s="1817"/>
      <c r="D433" s="181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48" t="str">
        <f>$B$9</f>
        <v>Твърдица</v>
      </c>
      <c r="C435" s="1749"/>
      <c r="D435" s="1750"/>
      <c r="E435" s="115">
        <f>$E$9</f>
        <v>44562</v>
      </c>
      <c r="F435" s="407">
        <f>$F$9</f>
        <v>44834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13" t="str">
        <f>$B$12</f>
        <v>Твърдица</v>
      </c>
      <c r="C438" s="1814"/>
      <c r="D438" s="1815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54" t="str">
        <f>CONCATENATE("Уточнен план ",$C$3," - БЮДЖЕТНО САЛДО")</f>
        <v>Уточнен план 2022 - БЮДЖЕТНО САЛДО</v>
      </c>
      <c r="F442" s="1755"/>
      <c r="G442" s="1755"/>
      <c r="H442" s="1756"/>
      <c r="I442" s="1846" t="str">
        <f>CONCATENATE("Отчет ",$C$3," - БЮДЖЕТНО САЛДО")</f>
        <v>Отчет 2022 - БЮДЖЕТНО САЛДО</v>
      </c>
      <c r="J442" s="1847"/>
      <c r="K442" s="1847"/>
      <c r="L442" s="184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-15093</v>
      </c>
      <c r="J445" s="539">
        <f t="shared" si="99"/>
        <v>0</v>
      </c>
      <c r="K445" s="540">
        <f t="shared" si="99"/>
        <v>0</v>
      </c>
      <c r="L445" s="541">
        <f t="shared" si="99"/>
        <v>-15093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15093</v>
      </c>
      <c r="J446" s="546">
        <f t="shared" si="100"/>
        <v>0</v>
      </c>
      <c r="K446" s="547">
        <f t="shared" si="100"/>
        <v>0</v>
      </c>
      <c r="L446" s="548">
        <f>+L597</f>
        <v>15093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46" t="str">
        <f>$B$7</f>
        <v>ОТЧЕТНИ ДАННИ ПО ЕБК ЗА СМЕТКИТЕ ЗА СРЕДСТВАТА ОТ ЕВРОПЕЙСКИЯ СЪЮЗ - ДЕС</v>
      </c>
      <c r="C449" s="1747"/>
      <c r="D449" s="174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48" t="str">
        <f>$B$9</f>
        <v>Твърдица</v>
      </c>
      <c r="C451" s="1749"/>
      <c r="D451" s="1750"/>
      <c r="E451" s="115">
        <f>$E$9</f>
        <v>44562</v>
      </c>
      <c r="F451" s="407">
        <f>$F$9</f>
        <v>44834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13" t="str">
        <f>$B$12</f>
        <v>Твърдица</v>
      </c>
      <c r="C454" s="1814"/>
      <c r="D454" s="1815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34" t="str">
        <f>CONCATENATE("Уточнен план ",$C$3," - ФИНАНСИРАНЕ НА БЮДЖЕТНО САЛДО")</f>
        <v>Уточнен план 2022 - ФИНАНСИРАНЕ НА БЮДЖЕТНО САЛДО</v>
      </c>
      <c r="F458" s="1835"/>
      <c r="G458" s="1835"/>
      <c r="H458" s="1836"/>
      <c r="I458" s="1849" t="str">
        <f>CONCATENATE("Отчет ",$C$3," -ФИНАНСИРАНЕ НА БЮДЖЕТНО САЛДО")</f>
        <v>Отчет 2022 -ФИНАНСИРАНЕ НА БЮДЖЕТНО САЛДО</v>
      </c>
      <c r="J458" s="1850"/>
      <c r="K458" s="1850"/>
      <c r="L458" s="185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5" t="s">
        <v>757</v>
      </c>
      <c r="D461" s="180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00" t="s">
        <v>760</v>
      </c>
      <c r="D465" s="180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00" t="s">
        <v>1944</v>
      </c>
      <c r="D468" s="180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5" t="s">
        <v>763</v>
      </c>
      <c r="D471" s="180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01" t="s">
        <v>770</v>
      </c>
      <c r="D478" s="180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03" t="s">
        <v>918</v>
      </c>
      <c r="D481" s="180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98" t="s">
        <v>923</v>
      </c>
      <c r="D497" s="180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98" t="s">
        <v>24</v>
      </c>
      <c r="D502" s="1804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07" t="s">
        <v>924</v>
      </c>
      <c r="D503" s="180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03" t="s">
        <v>33</v>
      </c>
      <c r="D512" s="180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03" t="s">
        <v>37</v>
      </c>
      <c r="D516" s="180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03" t="s">
        <v>925</v>
      </c>
      <c r="D521" s="180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98" t="s">
        <v>926</v>
      </c>
      <c r="D524" s="1799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15093</v>
      </c>
      <c r="J524" s="569">
        <f t="shared" si="120"/>
        <v>0</v>
      </c>
      <c r="K524" s="570">
        <f t="shared" si="120"/>
        <v>0</v>
      </c>
      <c r="L524" s="567">
        <f t="shared" si="120"/>
        <v>15093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64">
        <v>0</v>
      </c>
      <c r="G527" s="165"/>
      <c r="H527" s="574">
        <v>0</v>
      </c>
      <c r="I527" s="164">
        <v>15093</v>
      </c>
      <c r="J527" s="165"/>
      <c r="K527" s="574">
        <v>0</v>
      </c>
      <c r="L527" s="1376">
        <f t="shared" si="116"/>
        <v>15093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657">
        <v>0</v>
      </c>
      <c r="G528" s="1658">
        <v>0</v>
      </c>
      <c r="H528" s="574">
        <v>0</v>
      </c>
      <c r="I528" s="1657">
        <v>0</v>
      </c>
      <c r="J528" s="1658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64"/>
      <c r="G529" s="165"/>
      <c r="H529" s="574">
        <v>0</v>
      </c>
      <c r="I529" s="164"/>
      <c r="J529" s="165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657">
        <v>0</v>
      </c>
      <c r="G530" s="1658">
        <v>0</v>
      </c>
      <c r="H530" s="586">
        <v>0</v>
      </c>
      <c r="I530" s="1657">
        <v>0</v>
      </c>
      <c r="J530" s="1658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1" t="s">
        <v>310</v>
      </c>
      <c r="D531" s="181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03" t="s">
        <v>928</v>
      </c>
      <c r="D535" s="180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08" t="s">
        <v>929</v>
      </c>
      <c r="D536" s="180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0" t="s">
        <v>930</v>
      </c>
      <c r="D541" s="179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03" t="s">
        <v>931</v>
      </c>
      <c r="D544" s="180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0" t="s">
        <v>940</v>
      </c>
      <c r="D566" s="181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0" t="s">
        <v>945</v>
      </c>
      <c r="D586" s="179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0" t="s">
        <v>822</v>
      </c>
      <c r="D591" s="179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15093</v>
      </c>
      <c r="J597" s="653">
        <f t="shared" si="133"/>
        <v>0</v>
      </c>
      <c r="K597" s="655">
        <f t="shared" si="133"/>
        <v>0</v>
      </c>
      <c r="L597" s="651">
        <f t="shared" si="133"/>
        <v>15093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92" t="s">
        <v>2086</v>
      </c>
      <c r="H600" s="1793"/>
      <c r="I600" s="1793"/>
      <c r="J600" s="179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80" t="s">
        <v>866</v>
      </c>
      <c r="H601" s="1780"/>
      <c r="I601" s="1780"/>
      <c r="J601" s="178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795" t="s">
        <v>2087</v>
      </c>
      <c r="H603" s="1796"/>
      <c r="I603" s="1796"/>
      <c r="J603" s="1797"/>
      <c r="K603" s="103"/>
      <c r="L603" s="228"/>
      <c r="M603" s="7">
        <v>1</v>
      </c>
      <c r="N603" s="514"/>
    </row>
    <row r="604" spans="1:14" ht="21.75" customHeight="1">
      <c r="A604" s="23"/>
      <c r="B604" s="1778" t="s">
        <v>869</v>
      </c>
      <c r="C604" s="1779"/>
      <c r="D604" s="661" t="s">
        <v>870</v>
      </c>
      <c r="E604" s="662"/>
      <c r="F604" s="663"/>
      <c r="G604" s="1780" t="s">
        <v>866</v>
      </c>
      <c r="H604" s="1780"/>
      <c r="I604" s="1780"/>
      <c r="J604" s="1780"/>
      <c r="K604" s="103"/>
      <c r="L604" s="228"/>
      <c r="M604" s="7">
        <v>1</v>
      </c>
      <c r="N604" s="514"/>
    </row>
    <row r="605" spans="1:14" ht="24.75" customHeight="1">
      <c r="A605" s="36"/>
      <c r="B605" s="1781">
        <v>44847</v>
      </c>
      <c r="C605" s="1782"/>
      <c r="D605" s="664" t="s">
        <v>871</v>
      </c>
      <c r="E605" s="665" t="s">
        <v>2088</v>
      </c>
      <c r="F605" s="666"/>
      <c r="G605" s="667" t="s">
        <v>872</v>
      </c>
      <c r="H605" s="1783"/>
      <c r="I605" s="1784"/>
      <c r="J605" s="178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83"/>
      <c r="I607" s="1784"/>
      <c r="J607" s="178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46" t="str">
        <f>$B$7</f>
        <v>ОТЧЕТНИ ДАННИ ПО ЕБК ЗА СМЕТКИТЕ ЗА СРЕДСТВАТА ОТ ЕВРОПЕЙСКИЯ СЪЮЗ - ДЕС</v>
      </c>
      <c r="C621" s="1747"/>
      <c r="D621" s="174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824</v>
      </c>
      <c r="G622" s="237"/>
      <c r="H622" s="1351" t="s">
        <v>1241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48" t="str">
        <f>$B$9</f>
        <v>Твърдица</v>
      </c>
      <c r="C623" s="1749"/>
      <c r="D623" s="1750"/>
      <c r="E623" s="115">
        <f>$E$9</f>
        <v>44562</v>
      </c>
      <c r="F623" s="226">
        <f>$F$9</f>
        <v>44834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51" t="str">
        <f>$B$12</f>
        <v>Твърдица</v>
      </c>
      <c r="C626" s="1752"/>
      <c r="D626" s="1753"/>
      <c r="E626" s="410" t="s">
        <v>879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880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702</v>
      </c>
      <c r="E630" s="1754" t="str">
        <f>CONCATENATE("Уточнен план ",$C$3)</f>
        <v>Уточнен план 2022</v>
      </c>
      <c r="F630" s="1755"/>
      <c r="G630" s="1755"/>
      <c r="H630" s="1756"/>
      <c r="I630" s="1757" t="str">
        <f>CONCATENATE("Отчет ",$C$3)</f>
        <v>Отчет 2022</v>
      </c>
      <c r="J630" s="1758"/>
      <c r="K630" s="1758"/>
      <c r="L630" s="175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60" t="s">
        <v>2051</v>
      </c>
      <c r="C634" s="1447">
        <f>VLOOKUP(D635,EBK_DEIN2,2,FALSE)</f>
        <v>3322</v>
      </c>
      <c r="D634" s="1446" t="s">
        <v>781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3322</v>
      </c>
      <c r="D635" s="1441" t="s">
        <v>1949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62" t="s">
        <v>733</v>
      </c>
      <c r="D637" s="1763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0</v>
      </c>
      <c r="F638" s="152"/>
      <c r="G638" s="153"/>
      <c r="H638" s="1407"/>
      <c r="I638" s="152"/>
      <c r="J638" s="153"/>
      <c r="K638" s="1407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4" t="s">
        <v>736</v>
      </c>
      <c r="D640" s="1765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6" t="s">
        <v>192</v>
      </c>
      <c r="D646" s="1767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07"/>
      <c r="I647" s="152"/>
      <c r="J647" s="153"/>
      <c r="K647" s="1407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898</v>
      </c>
      <c r="E648" s="295">
        <f t="shared" si="138"/>
        <v>0</v>
      </c>
      <c r="F648" s="158"/>
      <c r="G648" s="159"/>
      <c r="H648" s="1409"/>
      <c r="I648" s="158"/>
      <c r="J648" s="159"/>
      <c r="K648" s="1409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860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09"/>
      <c r="I650" s="158"/>
      <c r="J650" s="159"/>
      <c r="K650" s="1409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09"/>
      <c r="I651" s="158"/>
      <c r="J651" s="159"/>
      <c r="K651" s="1409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862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68" t="s">
        <v>197</v>
      </c>
      <c r="D654" s="1769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4" t="s">
        <v>198</v>
      </c>
      <c r="D655" s="1765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6640</v>
      </c>
      <c r="J655" s="275">
        <f t="shared" si="140"/>
        <v>0</v>
      </c>
      <c r="K655" s="276">
        <f t="shared" si="140"/>
        <v>0</v>
      </c>
      <c r="L655" s="310">
        <f t="shared" si="140"/>
        <v>6640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09"/>
      <c r="I660" s="158"/>
      <c r="J660" s="159"/>
      <c r="K660" s="1409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0"/>
      <c r="G662" s="451"/>
      <c r="H662" s="1417"/>
      <c r="I662" s="450">
        <v>5583</v>
      </c>
      <c r="J662" s="451"/>
      <c r="K662" s="1417"/>
      <c r="L662" s="320">
        <f t="shared" si="142"/>
        <v>5583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>
        <v>1057</v>
      </c>
      <c r="J665" s="159"/>
      <c r="K665" s="1409"/>
      <c r="L665" s="295">
        <f t="shared" si="142"/>
        <v>1057</v>
      </c>
      <c r="M665" s="12">
        <f t="shared" si="135"/>
        <v>1</v>
      </c>
      <c r="N665" s="13"/>
    </row>
    <row r="666" spans="2:14" ht="15.75">
      <c r="B666" s="292"/>
      <c r="C666" s="324">
        <v>1053</v>
      </c>
      <c r="D666" s="325" t="s">
        <v>863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790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899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70" t="s">
        <v>269</v>
      </c>
      <c r="D673" s="1771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900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901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902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70" t="s">
        <v>711</v>
      </c>
      <c r="D677" s="1771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70" t="s">
        <v>217</v>
      </c>
      <c r="D683" s="1771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70" t="s">
        <v>219</v>
      </c>
      <c r="D686" s="1771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0" t="s">
        <v>220</v>
      </c>
      <c r="D687" s="1761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0" t="s">
        <v>221</v>
      </c>
      <c r="D688" s="1761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0" t="s">
        <v>1650</v>
      </c>
      <c r="D689" s="1761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70" t="s">
        <v>222</v>
      </c>
      <c r="D690" s="1771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1942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1961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1992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705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1647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2044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70" t="s">
        <v>231</v>
      </c>
      <c r="D705" s="1771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70" t="s">
        <v>232</v>
      </c>
      <c r="D706" s="1771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70" t="s">
        <v>233</v>
      </c>
      <c r="D707" s="1771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70" t="s">
        <v>234</v>
      </c>
      <c r="D708" s="1771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70" t="s">
        <v>1651</v>
      </c>
      <c r="D715" s="1771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70" t="s">
        <v>1648</v>
      </c>
      <c r="D719" s="1771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70" t="s">
        <v>1649</v>
      </c>
      <c r="D720" s="1771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0" t="s">
        <v>244</v>
      </c>
      <c r="D721" s="1761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70" t="s">
        <v>270</v>
      </c>
      <c r="D722" s="1771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74" t="s">
        <v>245</v>
      </c>
      <c r="D725" s="1775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74" t="s">
        <v>246</v>
      </c>
      <c r="D726" s="1775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612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74" t="s">
        <v>617</v>
      </c>
      <c r="D734" s="1775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74" t="s">
        <v>675</v>
      </c>
      <c r="D737" s="1775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70" t="s">
        <v>676</v>
      </c>
      <c r="D738" s="1771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6" t="s">
        <v>903</v>
      </c>
      <c r="D743" s="1777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683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72" t="s">
        <v>684</v>
      </c>
      <c r="D747" s="1773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72" t="s">
        <v>684</v>
      </c>
      <c r="D748" s="1773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730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6640</v>
      </c>
      <c r="J752" s="397">
        <f t="shared" si="169"/>
        <v>0</v>
      </c>
      <c r="K752" s="398">
        <f t="shared" si="169"/>
        <v>0</v>
      </c>
      <c r="L752" s="395">
        <f t="shared" si="169"/>
        <v>6640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5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4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61" t="s">
        <v>632</v>
      </c>
      <c r="B283" s="1662"/>
      <c r="C283" s="1662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2055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2056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2057</v>
      </c>
      <c r="B306" s="1509"/>
      <c r="C306" s="1509"/>
    </row>
    <row r="307" spans="1:3" ht="14.25">
      <c r="A307" s="1508" t="s">
        <v>2058</v>
      </c>
      <c r="B307" s="1509" t="s">
        <v>2059</v>
      </c>
      <c r="C307" s="1509" t="s">
        <v>2057</v>
      </c>
    </row>
    <row r="308" spans="1:3" ht="14.25">
      <c r="A308" s="1508" t="s">
        <v>2060</v>
      </c>
      <c r="B308" s="1509" t="s">
        <v>2061</v>
      </c>
      <c r="C308" s="1509" t="s">
        <v>2057</v>
      </c>
    </row>
    <row r="309" spans="1:3" ht="14.25">
      <c r="A309" s="1508" t="s">
        <v>2062</v>
      </c>
      <c r="B309" s="1509" t="s">
        <v>2063</v>
      </c>
      <c r="C309" s="1509" t="s">
        <v>2057</v>
      </c>
    </row>
    <row r="310" spans="1:3" ht="14.25">
      <c r="A310" s="1508" t="s">
        <v>2064</v>
      </c>
      <c r="B310" s="1509" t="s">
        <v>2065</v>
      </c>
      <c r="C310" s="1509" t="s">
        <v>2057</v>
      </c>
    </row>
    <row r="311" spans="1:3" ht="14.25">
      <c r="A311" s="1508" t="s">
        <v>2066</v>
      </c>
      <c r="B311" s="1509" t="s">
        <v>2067</v>
      </c>
      <c r="C311" s="1509" t="s">
        <v>2057</v>
      </c>
    </row>
    <row r="312" spans="1:3" ht="14.25">
      <c r="A312" s="1508" t="s">
        <v>2068</v>
      </c>
      <c r="B312" s="1509" t="s">
        <v>2069</v>
      </c>
      <c r="C312" s="1509" t="s">
        <v>2057</v>
      </c>
    </row>
    <row r="313" spans="1:3" ht="14.25">
      <c r="A313" s="1508" t="s">
        <v>2070</v>
      </c>
      <c r="B313" s="1509" t="s">
        <v>2071</v>
      </c>
      <c r="C313" s="1509" t="s">
        <v>2057</v>
      </c>
    </row>
    <row r="314" spans="1:3" ht="14.25">
      <c r="A314" s="1508" t="s">
        <v>2072</v>
      </c>
      <c r="B314" s="1509" t="s">
        <v>2073</v>
      </c>
      <c r="C314" s="1509" t="s">
        <v>2057</v>
      </c>
    </row>
    <row r="315" spans="1:3" ht="14.25">
      <c r="A315" s="1508" t="s">
        <v>2074</v>
      </c>
      <c r="B315" s="1509" t="s">
        <v>2075</v>
      </c>
      <c r="C315" s="1509" t="s">
        <v>2057</v>
      </c>
    </row>
    <row r="316" spans="1:3" ht="14.25">
      <c r="A316" s="1508" t="s">
        <v>2076</v>
      </c>
      <c r="B316" s="1509" t="s">
        <v>2077</v>
      </c>
      <c r="C316" s="1509" t="s">
        <v>2057</v>
      </c>
    </row>
    <row r="317" spans="1:3" ht="14.25">
      <c r="A317" s="1508" t="s">
        <v>2078</v>
      </c>
      <c r="B317" s="1509" t="s">
        <v>2079</v>
      </c>
      <c r="C317" s="1509" t="s">
        <v>2057</v>
      </c>
    </row>
    <row r="318" spans="1:3" ht="14.25">
      <c r="A318" s="1508" t="s">
        <v>2080</v>
      </c>
      <c r="B318" s="1509" t="s">
        <v>2081</v>
      </c>
      <c r="C318" s="1509" t="s">
        <v>2057</v>
      </c>
    </row>
    <row r="319" spans="1:3" ht="14.25">
      <c r="A319" s="1508" t="s">
        <v>2082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2004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2005</v>
      </c>
      <c r="E378" s="1538"/>
    </row>
    <row r="379" spans="1:5" ht="18">
      <c r="A379" s="1532" t="s">
        <v>1294</v>
      </c>
      <c r="B379" s="1531" t="s">
        <v>2006</v>
      </c>
      <c r="E379" s="1538"/>
    </row>
    <row r="380" spans="1:5" ht="18">
      <c r="A380" s="1532" t="s">
        <v>1295</v>
      </c>
      <c r="B380" s="1533" t="s">
        <v>2007</v>
      </c>
      <c r="E380" s="1538"/>
    </row>
    <row r="381" spans="1:5" ht="18">
      <c r="A381" s="1532" t="s">
        <v>1296</v>
      </c>
      <c r="B381" s="1534" t="s">
        <v>2008</v>
      </c>
      <c r="E381" s="1538"/>
    </row>
    <row r="382" spans="1:5" ht="18">
      <c r="A382" s="1532" t="s">
        <v>1297</v>
      </c>
      <c r="B382" s="1534" t="s">
        <v>2009</v>
      </c>
      <c r="E382" s="1538"/>
    </row>
    <row r="383" spans="1:5" ht="18">
      <c r="A383" s="1532" t="s">
        <v>1298</v>
      </c>
      <c r="B383" s="1534" t="s">
        <v>2010</v>
      </c>
      <c r="E383" s="1538"/>
    </row>
    <row r="384" spans="1:5" ht="18">
      <c r="A384" s="1532" t="s">
        <v>1299</v>
      </c>
      <c r="B384" s="1534" t="s">
        <v>2011</v>
      </c>
      <c r="E384" s="1538"/>
    </row>
    <row r="385" spans="1:5" ht="18">
      <c r="A385" s="1532" t="s">
        <v>1300</v>
      </c>
      <c r="B385" s="1534" t="s">
        <v>2012</v>
      </c>
      <c r="E385" s="1538"/>
    </row>
    <row r="386" spans="1:5" ht="18">
      <c r="A386" s="1532" t="s">
        <v>1301</v>
      </c>
      <c r="B386" s="1535" t="s">
        <v>2013</v>
      </c>
      <c r="E386" s="1538"/>
    </row>
    <row r="387" spans="1:5" ht="18">
      <c r="A387" s="1532" t="s">
        <v>1302</v>
      </c>
      <c r="B387" s="1535" t="s">
        <v>2014</v>
      </c>
      <c r="E387" s="1538"/>
    </row>
    <row r="388" spans="1:5" ht="18">
      <c r="A388" s="1532" t="s">
        <v>1303</v>
      </c>
      <c r="B388" s="1535" t="s">
        <v>2015</v>
      </c>
      <c r="E388" s="1538"/>
    </row>
    <row r="389" spans="1:5" ht="18">
      <c r="A389" s="1532" t="s">
        <v>1304</v>
      </c>
      <c r="B389" s="1535" t="s">
        <v>2016</v>
      </c>
      <c r="E389" s="1538"/>
    </row>
    <row r="390" spans="1:5" ht="18">
      <c r="A390" s="1532" t="s">
        <v>1305</v>
      </c>
      <c r="B390" s="1536" t="s">
        <v>2017</v>
      </c>
      <c r="E390" s="1538"/>
    </row>
    <row r="391" spans="1:5" ht="18">
      <c r="A391" s="1532" t="s">
        <v>1306</v>
      </c>
      <c r="B391" s="1536" t="s">
        <v>2018</v>
      </c>
      <c r="E391" s="1538"/>
    </row>
    <row r="392" spans="1:5" ht="18">
      <c r="A392" s="1532" t="s">
        <v>1307</v>
      </c>
      <c r="B392" s="1535" t="s">
        <v>2019</v>
      </c>
      <c r="E392" s="1538"/>
    </row>
    <row r="393" spans="1:5" ht="18">
      <c r="A393" s="1532" t="s">
        <v>1308</v>
      </c>
      <c r="B393" s="1535" t="s">
        <v>2020</v>
      </c>
      <c r="C393" s="1537" t="s">
        <v>179</v>
      </c>
      <c r="E393" s="1538"/>
    </row>
    <row r="394" spans="1:5" ht="18">
      <c r="A394" s="1532" t="s">
        <v>1309</v>
      </c>
      <c r="B394" s="1534" t="s">
        <v>2021</v>
      </c>
      <c r="C394" s="1537" t="s">
        <v>179</v>
      </c>
      <c r="E394" s="1538"/>
    </row>
    <row r="395" spans="1:5" ht="18">
      <c r="A395" s="1532" t="s">
        <v>1310</v>
      </c>
      <c r="B395" s="1535" t="s">
        <v>2022</v>
      </c>
      <c r="C395" s="1537" t="s">
        <v>179</v>
      </c>
      <c r="E395" s="1538"/>
    </row>
    <row r="396" spans="1:5" ht="18">
      <c r="A396" s="1532" t="s">
        <v>1311</v>
      </c>
      <c r="B396" s="1535" t="s">
        <v>2023</v>
      </c>
      <c r="C396" s="1537" t="s">
        <v>179</v>
      </c>
      <c r="E396" s="1538"/>
    </row>
    <row r="397" spans="1:5" ht="18">
      <c r="A397" s="1532" t="s">
        <v>1312</v>
      </c>
      <c r="B397" s="1535" t="s">
        <v>2024</v>
      </c>
      <c r="C397" s="1537" t="s">
        <v>179</v>
      </c>
      <c r="E397" s="1538"/>
    </row>
    <row r="398" spans="1:5" ht="18">
      <c r="A398" s="1532" t="s">
        <v>1313</v>
      </c>
      <c r="B398" s="1535" t="s">
        <v>2025</v>
      </c>
      <c r="C398" s="1537" t="s">
        <v>179</v>
      </c>
      <c r="E398" s="1538"/>
    </row>
    <row r="399" spans="1:5" ht="18">
      <c r="A399" s="1532" t="s">
        <v>1314</v>
      </c>
      <c r="B399" s="1535" t="s">
        <v>2026</v>
      </c>
      <c r="C399" s="1537" t="s">
        <v>179</v>
      </c>
      <c r="E399" s="1538"/>
    </row>
    <row r="400" spans="1:5" ht="18">
      <c r="A400" s="1532" t="s">
        <v>1315</v>
      </c>
      <c r="B400" s="1535" t="s">
        <v>2027</v>
      </c>
      <c r="C400" s="1537" t="s">
        <v>179</v>
      </c>
      <c r="E400" s="1538"/>
    </row>
    <row r="401" spans="1:5" ht="18">
      <c r="A401" s="1532" t="s">
        <v>1316</v>
      </c>
      <c r="B401" s="1535" t="s">
        <v>2028</v>
      </c>
      <c r="C401" s="1537" t="s">
        <v>179</v>
      </c>
      <c r="E401" s="1538"/>
    </row>
    <row r="402" spans="1:5" ht="18">
      <c r="A402" s="1532" t="s">
        <v>1317</v>
      </c>
      <c r="B402" s="1534" t="s">
        <v>2029</v>
      </c>
      <c r="C402" s="1537" t="s">
        <v>179</v>
      </c>
      <c r="E402" s="1538"/>
    </row>
    <row r="403" spans="1:5" ht="18">
      <c r="A403" s="1532" t="s">
        <v>1318</v>
      </c>
      <c r="B403" s="1535" t="s">
        <v>2030</v>
      </c>
      <c r="C403" s="1537" t="s">
        <v>179</v>
      </c>
      <c r="E403" s="1538"/>
    </row>
    <row r="404" spans="1:5" ht="18">
      <c r="A404" s="1532" t="s">
        <v>1319</v>
      </c>
      <c r="B404" s="1534" t="s">
        <v>2031</v>
      </c>
      <c r="C404" s="1537" t="s">
        <v>179</v>
      </c>
      <c r="E404" s="1538"/>
    </row>
    <row r="405" spans="1:5" ht="18">
      <c r="A405" s="1532" t="s">
        <v>1320</v>
      </c>
      <c r="B405" s="1534" t="s">
        <v>2032</v>
      </c>
      <c r="C405" s="1537" t="s">
        <v>179</v>
      </c>
      <c r="E405" s="1538"/>
    </row>
    <row r="406" spans="1:5" ht="18">
      <c r="A406" s="1532" t="s">
        <v>1321</v>
      </c>
      <c r="B406" s="1534" t="s">
        <v>2033</v>
      </c>
      <c r="C406" s="1537" t="s">
        <v>179</v>
      </c>
      <c r="E406" s="1538"/>
    </row>
    <row r="407" spans="1:5" ht="18">
      <c r="A407" s="1532" t="s">
        <v>1322</v>
      </c>
      <c r="B407" s="1534" t="s">
        <v>2034</v>
      </c>
      <c r="C407" s="1537" t="s">
        <v>179</v>
      </c>
      <c r="E407" s="1538"/>
    </row>
    <row r="408" spans="1:5" ht="18">
      <c r="A408" s="1532" t="s">
        <v>1323</v>
      </c>
      <c r="B408" s="1534" t="s">
        <v>2035</v>
      </c>
      <c r="C408" s="1537" t="s">
        <v>179</v>
      </c>
      <c r="E408" s="1538"/>
    </row>
    <row r="409" spans="1:5" ht="18">
      <c r="A409" s="1532" t="s">
        <v>1324</v>
      </c>
      <c r="B409" s="1534" t="s">
        <v>2036</v>
      </c>
      <c r="C409" s="1537" t="s">
        <v>179</v>
      </c>
      <c r="E409" s="1538"/>
    </row>
    <row r="410" spans="1:5" ht="18">
      <c r="A410" s="1532" t="s">
        <v>1325</v>
      </c>
      <c r="B410" s="1534" t="s">
        <v>2037</v>
      </c>
      <c r="C410" s="1537" t="s">
        <v>179</v>
      </c>
      <c r="E410" s="1538"/>
    </row>
    <row r="411" spans="1:5" ht="18">
      <c r="A411" s="1532" t="s">
        <v>1326</v>
      </c>
      <c r="B411" s="1534" t="s">
        <v>2038</v>
      </c>
      <c r="C411" s="1537" t="s">
        <v>179</v>
      </c>
      <c r="E411" s="1538"/>
    </row>
    <row r="412" spans="1:5" ht="18">
      <c r="A412" s="1532" t="s">
        <v>1327</v>
      </c>
      <c r="B412" s="1539" t="s">
        <v>2039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2040</v>
      </c>
      <c r="C416" s="1537" t="s">
        <v>179</v>
      </c>
      <c r="E416" s="1538"/>
    </row>
    <row r="417" spans="1:5" ht="18">
      <c r="A417" s="1532" t="s">
        <v>1331</v>
      </c>
      <c r="B417" s="1519" t="s">
        <v>2041</v>
      </c>
      <c r="C417" s="1537" t="s">
        <v>179</v>
      </c>
      <c r="E417" s="1538"/>
    </row>
    <row r="418" spans="1:5" ht="18">
      <c r="A418" s="1577" t="s">
        <v>1332</v>
      </c>
      <c r="B418" s="1544" t="s">
        <v>2042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L23" sqref="L23:O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46">
        <f>$B$7</f>
        <v>0</v>
      </c>
      <c r="J14" s="1747"/>
      <c r="K14" s="174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48">
        <f>$B$9</f>
        <v>0</v>
      </c>
      <c r="J16" s="1749"/>
      <c r="K16" s="175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51">
        <f>$B$12</f>
        <v>0</v>
      </c>
      <c r="J19" s="1752"/>
      <c r="K19" s="1753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54" t="str">
        <f>CONCATENATE("Уточнен план ",$C$3)</f>
        <v>Уточнен план </v>
      </c>
      <c r="M23" s="1755"/>
      <c r="N23" s="1755"/>
      <c r="O23" s="1756"/>
      <c r="P23" s="1757" t="str">
        <f>CONCATENATE("Отчет ",$C$3)</f>
        <v>Отчет 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2" t="s">
        <v>733</v>
      </c>
      <c r="K30" s="176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4" t="s">
        <v>736</v>
      </c>
      <c r="K33" s="176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6" t="s">
        <v>192</v>
      </c>
      <c r="K39" s="176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8" t="s">
        <v>197</v>
      </c>
      <c r="K47" s="1769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4" t="s">
        <v>198</v>
      </c>
      <c r="K48" s="176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70" t="s">
        <v>269</v>
      </c>
      <c r="K66" s="177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70" t="s">
        <v>711</v>
      </c>
      <c r="K70" s="177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70" t="s">
        <v>217</v>
      </c>
      <c r="K76" s="177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70" t="s">
        <v>219</v>
      </c>
      <c r="K79" s="1771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0" t="s">
        <v>220</v>
      </c>
      <c r="K80" s="1761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0" t="s">
        <v>221</v>
      </c>
      <c r="K81" s="1761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0" t="s">
        <v>1650</v>
      </c>
      <c r="K82" s="1761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70" t="s">
        <v>222</v>
      </c>
      <c r="K83" s="177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70" t="s">
        <v>231</v>
      </c>
      <c r="K98" s="1771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70" t="s">
        <v>232</v>
      </c>
      <c r="K99" s="1771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70" t="s">
        <v>233</v>
      </c>
      <c r="K100" s="1771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70" t="s">
        <v>234</v>
      </c>
      <c r="K101" s="177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70" t="s">
        <v>1651</v>
      </c>
      <c r="K108" s="177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70" t="s">
        <v>1648</v>
      </c>
      <c r="K112" s="1771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70" t="s">
        <v>1649</v>
      </c>
      <c r="K113" s="1771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0" t="s">
        <v>244</v>
      </c>
      <c r="K114" s="1761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70" t="s">
        <v>270</v>
      </c>
      <c r="K115" s="177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4" t="s">
        <v>245</v>
      </c>
      <c r="K118" s="177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4" t="s">
        <v>246</v>
      </c>
      <c r="K119" s="177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4" t="s">
        <v>617</v>
      </c>
      <c r="K127" s="177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4" t="s">
        <v>675</v>
      </c>
      <c r="K130" s="177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70" t="s">
        <v>676</v>
      </c>
      <c r="K131" s="177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6" t="s">
        <v>903</v>
      </c>
      <c r="K136" s="1777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72" t="s">
        <v>684</v>
      </c>
      <c r="K140" s="1773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72" t="s">
        <v>684</v>
      </c>
      <c r="K141" s="1773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2022-10-13T07:16:17Z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